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450" yWindow="210" windowWidth="14250" windowHeight="11655" tabRatio="599" firstSheet="4" activeTab="4"/>
  </bookViews>
  <sheets>
    <sheet name="Statement of Financial Position" sheetId="2" state="hidden" r:id="rId1"/>
    <sheet name="Statement of Activities" sheetId="1" state="hidden" r:id="rId2"/>
    <sheet name="IS" sheetId="5" state="hidden" r:id="rId3"/>
    <sheet name="IS Current" sheetId="7" state="hidden" r:id="rId4"/>
    <sheet name="Budget" sheetId="9" r:id="rId5"/>
    <sheet name="IS Previous" sheetId="8" state="hidden" r:id="rId6"/>
    <sheet name="BS" sheetId="6" state="hidden" r:id="rId7"/>
  </sheets>
  <externalReferences>
    <externalReference r:id="rId10"/>
  </externalReferences>
  <definedNames>
    <definedName name="_xlnm.Print_Area" localSheetId="0">'Statement of Financial Position'!$A$1:$H$48</definedName>
  </definedNames>
  <calcPr calcId="162913"/>
</workbook>
</file>

<file path=xl/sharedStrings.xml><?xml version="1.0" encoding="utf-8"?>
<sst xmlns="http://schemas.openxmlformats.org/spreadsheetml/2006/main" count="289" uniqueCount="222">
  <si>
    <t>Debt Service</t>
  </si>
  <si>
    <t>Investments</t>
  </si>
  <si>
    <t>Total Liabilities</t>
  </si>
  <si>
    <t>Instruction</t>
  </si>
  <si>
    <t>Instructional Support Services</t>
  </si>
  <si>
    <t>Board</t>
  </si>
  <si>
    <t>School Administration</t>
  </si>
  <si>
    <t>Facilities and Acquisition</t>
  </si>
  <si>
    <t>Fiscal Services</t>
  </si>
  <si>
    <t>Food Services</t>
  </si>
  <si>
    <t>Central Services</t>
  </si>
  <si>
    <t>Pupil Transportation Services</t>
  </si>
  <si>
    <t>Operation of Plant</t>
  </si>
  <si>
    <t>Maintenance of Plant</t>
  </si>
  <si>
    <t>Administrative Technology Services</t>
  </si>
  <si>
    <t>Community Services</t>
  </si>
  <si>
    <t>Current Assets</t>
  </si>
  <si>
    <t>Cash &amp; cash equivalents</t>
  </si>
  <si>
    <t>Intercompany advances</t>
  </si>
  <si>
    <t>Total current assets</t>
  </si>
  <si>
    <t>Total assets</t>
  </si>
  <si>
    <t>Deferred revenue</t>
  </si>
  <si>
    <t>Accrued expenses</t>
  </si>
  <si>
    <t>Accounts payable</t>
  </si>
  <si>
    <t>Current liabilities</t>
  </si>
  <si>
    <t>Total current liabilities</t>
  </si>
  <si>
    <t>Total Liabilities and Net Assets</t>
  </si>
  <si>
    <t>Current Year</t>
  </si>
  <si>
    <t xml:space="preserve">Net Assets </t>
  </si>
  <si>
    <t>Temporarily Restricted</t>
  </si>
  <si>
    <t>Unrestricted</t>
  </si>
  <si>
    <t>Accounts receivable - net</t>
  </si>
  <si>
    <t>Prepaid expenses</t>
  </si>
  <si>
    <t>Property, plant, and equipment - net</t>
  </si>
  <si>
    <t>Other long-term assets</t>
  </si>
  <si>
    <t>Long-term liabilities</t>
  </si>
  <si>
    <t>Notes/bonds payable - short-term</t>
  </si>
  <si>
    <t>Notes/bonds payable</t>
  </si>
  <si>
    <t>Total long-term liabilities</t>
  </si>
  <si>
    <t>Total Net Assets</t>
  </si>
  <si>
    <t>Statement of Activities (Unaudited)</t>
  </si>
  <si>
    <t>Description</t>
  </si>
  <si>
    <t>Account Number</t>
  </si>
  <si>
    <t>YTD Actual</t>
  </si>
  <si>
    <t>Month/ Quarter Actual</t>
  </si>
  <si>
    <t>Permanently Restricted</t>
  </si>
  <si>
    <t xml:space="preserve">FEDERAL SOURCES </t>
  </si>
  <si>
    <t xml:space="preserve">STATE SOURCES </t>
  </si>
  <si>
    <t xml:space="preserve">    FEFP</t>
  </si>
  <si>
    <t>LOCAL SOURCES</t>
  </si>
  <si>
    <t xml:space="preserve">    Interest</t>
  </si>
  <si>
    <t xml:space="preserve">    Other local revenue</t>
  </si>
  <si>
    <t xml:space="preserve">    Class size reduction</t>
  </si>
  <si>
    <t xml:space="preserve">    Capital outlay</t>
  </si>
  <si>
    <t xml:space="preserve">    Federal through state and local</t>
  </si>
  <si>
    <t xml:space="preserve">    Federal direct</t>
  </si>
  <si>
    <t>TOTAL REVENUES</t>
  </si>
  <si>
    <t>REVENUES</t>
  </si>
  <si>
    <t>TOTAL REVENUES AND SUPPORT</t>
  </si>
  <si>
    <t>EXPENSES</t>
  </si>
  <si>
    <t>DEPRECIATION</t>
  </si>
  <si>
    <t>TOTAL EXPENSES</t>
  </si>
  <si>
    <t>TOTAL CURRENT EXPENSES</t>
  </si>
  <si>
    <t>CHANGE IN NET ASSETS</t>
  </si>
  <si>
    <t>NET ASSETS AT THE BEGINNING OF THE YEAR</t>
  </si>
  <si>
    <t>NET ASSETS AT THE END OF THE YEAR</t>
  </si>
  <si>
    <t>ASSETS</t>
  </si>
  <si>
    <t>LIABILITIES AND NET ASSETS</t>
  </si>
  <si>
    <t>Statement of Financial Position (Unaudited)</t>
  </si>
  <si>
    <t>NET ASSETS RELEASED FROM RESTRICTION</t>
  </si>
  <si>
    <t>3600/9700</t>
  </si>
  <si>
    <t>Total</t>
  </si>
  <si>
    <t>CURRENT EXPENSES</t>
  </si>
  <si>
    <t>Accounts</t>
  </si>
  <si>
    <t>21XX, 22XX</t>
  </si>
  <si>
    <t>Other current assets</t>
  </si>
  <si>
    <t>12XX</t>
  </si>
  <si>
    <t>Lease payable</t>
  </si>
  <si>
    <t>Other long-term liabilities</t>
  </si>
  <si>
    <t xml:space="preserve">    School recognition</t>
  </si>
  <si>
    <t xml:space="preserve">    Local capital improvement tax</t>
  </si>
  <si>
    <t>34XX</t>
  </si>
  <si>
    <t>33XX</t>
  </si>
  <si>
    <t xml:space="preserve">    Other state revenue</t>
  </si>
  <si>
    <t>2180, 2250, 2310, 2320</t>
  </si>
  <si>
    <t>23XX</t>
  </si>
  <si>
    <t>Salaries, benefits, and payroll taxes payable</t>
  </si>
  <si>
    <t>2110, 2170, 2330</t>
  </si>
  <si>
    <t>FTE Projected</t>
  </si>
  <si>
    <t>FTE Actual</t>
  </si>
  <si>
    <t>Temporarily restricted</t>
  </si>
  <si>
    <t>Permanently restricted</t>
  </si>
  <si>
    <t>Percent of Projected</t>
  </si>
  <si>
    <t>Annual Budget</t>
  </si>
  <si>
    <t>% of YTD
Actual to
Annual Budget</t>
  </si>
  <si>
    <t>Capital Outlay</t>
  </si>
  <si>
    <t>Deposits</t>
  </si>
  <si>
    <t>Liabilities</t>
  </si>
  <si>
    <t>River Cities Charter School</t>
  </si>
  <si>
    <t>12:15 PM</t>
  </si>
  <si>
    <t>Profit &amp; Loss</t>
  </si>
  <si>
    <t>July through October 2013</t>
  </si>
  <si>
    <t>Accrual Basis</t>
  </si>
  <si>
    <t>Jul 13</t>
  </si>
  <si>
    <t>Aug 13</t>
  </si>
  <si>
    <t>Sep 13</t>
  </si>
  <si>
    <t>Oct 13</t>
  </si>
  <si>
    <t>TOTAL</t>
  </si>
  <si>
    <t>Ordinary Income/Expense</t>
  </si>
  <si>
    <t>Income</t>
  </si>
  <si>
    <t>3300 · Revenue from State</t>
  </si>
  <si>
    <t>3400 · Revenue from Local Sources</t>
  </si>
  <si>
    <t>Total Income</t>
  </si>
  <si>
    <t>Expense</t>
  </si>
  <si>
    <t>5100 · Salaries</t>
  </si>
  <si>
    <t>5200 · Employee Benefits</t>
  </si>
  <si>
    <t>5300 · Purchased Services</t>
  </si>
  <si>
    <t>5310 · Professional and Technical</t>
  </si>
  <si>
    <t>5320 · Insurance</t>
  </si>
  <si>
    <t>5350 · Repair Maintenance</t>
  </si>
  <si>
    <t>5360 · Rentals</t>
  </si>
  <si>
    <t>5370 · Communications</t>
  </si>
  <si>
    <t>5380 · Public Utility Services</t>
  </si>
  <si>
    <t>5390 · Other Purchased Services</t>
  </si>
  <si>
    <t>Total 5300 · Purchased Services</t>
  </si>
  <si>
    <t>5400 · Energy Services</t>
  </si>
  <si>
    <t>5500 · Materials &amp; Supplies</t>
  </si>
  <si>
    <t>5600 · Capital</t>
  </si>
  <si>
    <t>5700 · Other Expenses</t>
  </si>
  <si>
    <t>Total Expense</t>
  </si>
  <si>
    <t>Net Ordinary Income</t>
  </si>
  <si>
    <t>Net Income</t>
  </si>
  <si>
    <t>Checking/Savings</t>
  </si>
  <si>
    <t>Total Checking/Savings</t>
  </si>
  <si>
    <t>Total Current Assets</t>
  </si>
  <si>
    <t>TOTAL ASSETS</t>
  </si>
  <si>
    <t>LIABILITIES &amp; EQUITY</t>
  </si>
  <si>
    <t>Current Liabilities</t>
  </si>
  <si>
    <t>Accounts Payable</t>
  </si>
  <si>
    <t>Total Accounts Payable</t>
  </si>
  <si>
    <t>Other Current Liabilities</t>
  </si>
  <si>
    <t>2120 · Accounts Payable</t>
  </si>
  <si>
    <t>Total Other Current Liabilities</t>
  </si>
  <si>
    <t>Total Current Liabilities</t>
  </si>
  <si>
    <t>Equity</t>
  </si>
  <si>
    <t>Total Equity</t>
  </si>
  <si>
    <t>TOTAL LIABILITIES &amp; EQUITY</t>
  </si>
  <si>
    <t>Financing Use</t>
  </si>
  <si>
    <t>Nov 13</t>
  </si>
  <si>
    <t>Dec 13</t>
  </si>
  <si>
    <t>Jan 14</t>
  </si>
  <si>
    <t>Feb 14</t>
  </si>
  <si>
    <t>March 14</t>
  </si>
  <si>
    <t>April 14</t>
  </si>
  <si>
    <t>110-E · Expenditures</t>
  </si>
  <si>
    <t>5100000 · Instruction</t>
  </si>
  <si>
    <t>5200000 · ESE Instruction</t>
  </si>
  <si>
    <t>7300000 · School Administration</t>
  </si>
  <si>
    <t>7500000 · Fiscal Services</t>
  </si>
  <si>
    <t>7900000 · Operations of Plant</t>
  </si>
  <si>
    <t>8100000 · Maintenance of Plant</t>
  </si>
  <si>
    <t>Total 110-E · Expenditures</t>
  </si>
  <si>
    <t>421-E · Federal Grant Expenses</t>
  </si>
  <si>
    <t>Jul '14 - Jun 15</t>
  </si>
  <si>
    <t>110-R · General Operating</t>
  </si>
  <si>
    <t>421-R · Federal Grants</t>
  </si>
  <si>
    <t>3240000 · Title 1</t>
  </si>
  <si>
    <t>Total 421-R · Federal Grants</t>
  </si>
  <si>
    <t>6200000 · Instructional Media Services</t>
  </si>
  <si>
    <t>6300000 · Curriculum Development</t>
  </si>
  <si>
    <t>6400000 · Instructional Staff Training</t>
  </si>
  <si>
    <t>7100000 · Board Expenses</t>
  </si>
  <si>
    <t>7200000 · General Administration</t>
  </si>
  <si>
    <t>7600000 · Food Services</t>
  </si>
  <si>
    <t>7800000 · Transportation</t>
  </si>
  <si>
    <t>9100000 · Community Services</t>
  </si>
  <si>
    <t>Total 421-E · Federal Grant Expenses</t>
  </si>
  <si>
    <t>Jul 31, 14</t>
  </si>
  <si>
    <t>1110 · Operating 3684</t>
  </si>
  <si>
    <t>1113 · Internal</t>
  </si>
  <si>
    <t>Fixed Assets</t>
  </si>
  <si>
    <t>1300000 · Improvements to Property</t>
  </si>
  <si>
    <t>1500000 · Furniture, Fixtures and Equip</t>
  </si>
  <si>
    <t>1600000 · Computer Equipment</t>
  </si>
  <si>
    <t>Total Fixed Assets</t>
  </si>
  <si>
    <t>2111 · Wages Payable</t>
  </si>
  <si>
    <t>Long Term Liabilities</t>
  </si>
  <si>
    <t>2241 · Loan from Jeff Miller</t>
  </si>
  <si>
    <t>Total Long Term Liabilities</t>
  </si>
  <si>
    <t>2760 · Unrestricted Net Assets</t>
  </si>
  <si>
    <t>640000</t>
  </si>
  <si>
    <t>Prepaid</t>
  </si>
  <si>
    <t>Internal</t>
  </si>
  <si>
    <t>Federal</t>
  </si>
  <si>
    <t>7800000</t>
  </si>
  <si>
    <t>FEFP</t>
  </si>
  <si>
    <t>Classroom</t>
  </si>
  <si>
    <t>760000 Food</t>
  </si>
  <si>
    <t>780000 Transportation</t>
  </si>
  <si>
    <t>Title One</t>
  </si>
  <si>
    <t>7100000 Board</t>
  </si>
  <si>
    <t>8200000 Tech Services</t>
  </si>
  <si>
    <t>7400000</t>
  </si>
  <si>
    <t>740000</t>
  </si>
  <si>
    <t>CSP Grant</t>
  </si>
  <si>
    <t>7400000 Rent</t>
  </si>
  <si>
    <t>8200000</t>
  </si>
  <si>
    <t>Funding</t>
  </si>
  <si>
    <t>Income Rec</t>
  </si>
  <si>
    <t>Lunch</t>
  </si>
  <si>
    <t>previous</t>
  </si>
  <si>
    <t>NSLP/Title One</t>
  </si>
  <si>
    <t>Improve</t>
  </si>
  <si>
    <t>FFE/Computer</t>
  </si>
  <si>
    <t>Begin FY</t>
  </si>
  <si>
    <t>Last Month</t>
  </si>
  <si>
    <t>Line 2210</t>
  </si>
  <si>
    <t>Text</t>
  </si>
  <si>
    <t>LCIR</t>
  </si>
  <si>
    <t>Loans</t>
  </si>
  <si>
    <t>2210 · Due to TN</t>
  </si>
  <si>
    <t>7700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</si>
</sst>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yy"/>
    <numFmt numFmtId="165" formatCode="#,##0.00;\-#,##0.00"/>
  </numFmts>
  <fonts count="16">
    <font>
      <sz val="11"/>
      <color theme="1"/>
      <name val="Times New Roman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2"/>
      <color rgb="FF000080"/>
      <name val="Arial"/>
      <family val="2"/>
    </font>
    <font>
      <b/>
      <sz val="8"/>
      <color rgb="FF000000"/>
      <name val="Arial"/>
      <family val="2"/>
    </font>
    <font>
      <b/>
      <sz val="8"/>
      <color rgb="FF000080"/>
      <name val="Arial"/>
      <family val="2"/>
    </font>
    <font>
      <b/>
      <sz val="14"/>
      <color rgb="FF000080"/>
      <name val="Arial"/>
      <family val="2"/>
    </font>
    <font>
      <b/>
      <sz val="10"/>
      <color rgb="FF000080"/>
      <name val="Arial"/>
      <family val="2"/>
    </font>
    <font>
      <sz val="8"/>
      <color rgb="FF000000"/>
      <name val="Arial"/>
      <family val="2"/>
    </font>
    <font>
      <b/>
      <sz val="8"/>
      <color rgb="FF323232"/>
      <name val="Arial"/>
      <family val="2"/>
    </font>
    <font>
      <sz val="8"/>
      <color rgb="FF323232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92D05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/>
    </border>
    <border>
      <left/>
      <right/>
      <top style="thin"/>
      <bottom style="thin"/>
    </border>
    <border>
      <left/>
      <right/>
      <top/>
      <bottom style="double"/>
    </border>
    <border>
      <left/>
      <right/>
      <top/>
      <bottom style="thick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double"/>
    </border>
    <border>
      <left/>
      <right/>
      <top style="thin"/>
      <bottom/>
    </border>
    <border>
      <left/>
      <right/>
      <top style="thick"/>
      <bottom style="thick"/>
    </border>
    <border>
      <left/>
      <right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133">
    <xf numFmtId="0" fontId="0" fillId="0" borderId="0" xfId="0"/>
    <xf numFmtId="0" fontId="3" fillId="0" borderId="0" xfId="20" applyFont="1" applyAlignment="1" applyProtection="1">
      <alignment horizontal="centerContinuous"/>
      <protection locked="0"/>
    </xf>
    <xf numFmtId="0" fontId="3" fillId="0" borderId="0" xfId="20" applyFont="1" applyAlignment="1" applyProtection="1">
      <alignment/>
      <protection locked="0"/>
    </xf>
    <xf numFmtId="0" fontId="3" fillId="0" borderId="0" xfId="20" applyFont="1" applyProtection="1">
      <alignment/>
      <protection locked="0"/>
    </xf>
    <xf numFmtId="0" fontId="2" fillId="0" borderId="0" xfId="20" applyFont="1" applyAlignment="1" applyProtection="1">
      <alignment horizontal="center"/>
      <protection locked="0"/>
    </xf>
    <xf numFmtId="0" fontId="5" fillId="0" borderId="0" xfId="0" applyFont="1"/>
    <xf numFmtId="0" fontId="5" fillId="0" borderId="0" xfId="0" applyFont="1" applyFill="1" applyBorder="1"/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5" fillId="0" borderId="0" xfId="0" applyFont="1" applyBorder="1"/>
    <xf numFmtId="44" fontId="5" fillId="0" borderId="0" xfId="16" applyFont="1" applyFill="1" applyBorder="1"/>
    <xf numFmtId="43" fontId="5" fillId="0" borderId="0" xfId="18" applyFont="1" applyFill="1" applyBorder="1"/>
    <xf numFmtId="44" fontId="5" fillId="0" borderId="0" xfId="16" applyFont="1" applyFill="1" applyBorder="1" applyAlignment="1">
      <alignment horizontal="left"/>
    </xf>
    <xf numFmtId="0" fontId="3" fillId="0" borderId="0" xfId="20" applyFont="1" applyAlignment="1" applyProtection="1">
      <alignment horizontal="center"/>
      <protection locked="0"/>
    </xf>
    <xf numFmtId="0" fontId="6" fillId="0" borderId="0" xfId="0" applyFont="1" applyFill="1" applyAlignment="1">
      <alignment horizontal="center"/>
    </xf>
    <xf numFmtId="0" fontId="6" fillId="0" borderId="0" xfId="0" applyFont="1"/>
    <xf numFmtId="0" fontId="5" fillId="0" borderId="0" xfId="0" applyFont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/>
    </xf>
    <xf numFmtId="0" fontId="2" fillId="0" borderId="0" xfId="20" applyFont="1" applyAlignment="1" applyProtection="1">
      <alignment/>
      <protection locked="0"/>
    </xf>
    <xf numFmtId="0" fontId="3" fillId="0" borderId="0" xfId="20" applyFont="1" applyAlignment="1" applyProtection="1">
      <alignment horizontal="center" wrapText="1"/>
      <protection locked="0"/>
    </xf>
    <xf numFmtId="0" fontId="2" fillId="0" borderId="0" xfId="20" applyFont="1" applyBorder="1" applyAlignment="1" applyProtection="1">
      <alignment/>
      <protection locked="0"/>
    </xf>
    <xf numFmtId="0" fontId="3" fillId="0" borderId="0" xfId="20" applyFont="1" applyBorder="1" applyAlignment="1" applyProtection="1">
      <alignment/>
      <protection locked="0"/>
    </xf>
    <xf numFmtId="0" fontId="2" fillId="0" borderId="0" xfId="20" applyFont="1" applyBorder="1" applyAlignment="1" applyProtection="1">
      <alignment horizontal="center"/>
      <protection locked="0"/>
    </xf>
    <xf numFmtId="0" fontId="3" fillId="0" borderId="0" xfId="20" applyFont="1" applyBorder="1" applyAlignment="1" applyProtection="1">
      <alignment horizontal="left"/>
      <protection locked="0"/>
    </xf>
    <xf numFmtId="0" fontId="2" fillId="0" borderId="0" xfId="20" applyFont="1" applyBorder="1" applyAlignment="1" applyProtection="1">
      <alignment horizontal="left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1" xfId="0" applyFont="1" applyBorder="1" applyAlignment="1">
      <alignment wrapText="1"/>
    </xf>
    <xf numFmtId="0" fontId="2" fillId="0" borderId="1" xfId="20" applyFont="1" applyBorder="1" applyAlignment="1" applyProtection="1">
      <alignment horizontal="center" wrapText="1"/>
      <protection locked="0"/>
    </xf>
    <xf numFmtId="0" fontId="2" fillId="0" borderId="1" xfId="20" applyFont="1" applyBorder="1" applyAlignment="1" applyProtection="1">
      <alignment horizontal="left"/>
      <protection locked="0"/>
    </xf>
    <xf numFmtId="0" fontId="2" fillId="0" borderId="2" xfId="20" applyFont="1" applyBorder="1" applyAlignment="1" applyProtection="1">
      <alignment horizontal="center"/>
      <protection locked="0"/>
    </xf>
    <xf numFmtId="43" fontId="6" fillId="0" borderId="0" xfId="18" applyFont="1" applyFill="1" applyBorder="1" applyAlignment="1">
      <alignment/>
    </xf>
    <xf numFmtId="43" fontId="6" fillId="0" borderId="0" xfId="18" applyFont="1" applyFill="1" applyBorder="1"/>
    <xf numFmtId="43" fontId="5" fillId="0" borderId="0" xfId="18" applyFont="1"/>
    <xf numFmtId="44" fontId="5" fillId="0" borderId="0" xfId="16" applyFont="1"/>
    <xf numFmtId="0" fontId="5" fillId="0" borderId="0" xfId="0" applyFont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2" fillId="0" borderId="1" xfId="20" applyFont="1" applyBorder="1" applyAlignment="1" applyProtection="1">
      <alignment horizontal="center"/>
      <protection locked="0"/>
    </xf>
    <xf numFmtId="9" fontId="5" fillId="0" borderId="0" xfId="15" applyFont="1" applyAlignment="1">
      <alignment horizontal="right"/>
    </xf>
    <xf numFmtId="0" fontId="2" fillId="0" borderId="2" xfId="20" applyFont="1" applyBorder="1" applyAlignment="1" applyProtection="1">
      <alignment horizontal="center" wrapText="1"/>
      <protection locked="0"/>
    </xf>
    <xf numFmtId="9" fontId="3" fillId="0" borderId="0" xfId="15" applyFont="1" applyAlignment="1" applyProtection="1">
      <alignment horizontal="center"/>
      <protection locked="0"/>
    </xf>
    <xf numFmtId="9" fontId="3" fillId="0" borderId="3" xfId="15" applyFont="1" applyBorder="1" applyAlignment="1" applyProtection="1">
      <alignment horizontal="right"/>
      <protection locked="0"/>
    </xf>
    <xf numFmtId="43" fontId="3" fillId="0" borderId="0" xfId="18" applyFont="1" applyAlignment="1" applyProtection="1">
      <alignment horizontal="right"/>
      <protection locked="0"/>
    </xf>
    <xf numFmtId="9" fontId="3" fillId="0" borderId="0" xfId="15" applyFont="1" applyAlignment="1" applyProtection="1">
      <alignment horizontal="right"/>
      <protection locked="0"/>
    </xf>
    <xf numFmtId="43" fontId="3" fillId="0" borderId="2" xfId="18" applyFont="1" applyBorder="1" applyAlignment="1" applyProtection="1">
      <alignment horizontal="right"/>
      <protection locked="0"/>
    </xf>
    <xf numFmtId="9" fontId="3" fillId="0" borderId="2" xfId="15" applyFont="1" applyBorder="1" applyAlignment="1" applyProtection="1">
      <alignment horizontal="right"/>
      <protection locked="0"/>
    </xf>
    <xf numFmtId="43" fontId="3" fillId="0" borderId="1" xfId="18" applyFont="1" applyBorder="1" applyAlignment="1" applyProtection="1">
      <alignment horizontal="right"/>
      <protection locked="0"/>
    </xf>
    <xf numFmtId="9" fontId="3" fillId="0" borderId="1" xfId="15" applyFont="1" applyBorder="1" applyAlignment="1" applyProtection="1">
      <alignment horizontal="right"/>
      <protection locked="0"/>
    </xf>
    <xf numFmtId="44" fontId="5" fillId="0" borderId="0" xfId="16" applyFont="1" applyAlignment="1">
      <alignment horizontal="right"/>
    </xf>
    <xf numFmtId="0" fontId="5" fillId="0" borderId="0" xfId="0" applyFont="1" applyAlignment="1">
      <alignment horizontal="right"/>
    </xf>
    <xf numFmtId="43" fontId="5" fillId="0" borderId="0" xfId="18" applyFont="1" applyAlignment="1">
      <alignment horizontal="right"/>
    </xf>
    <xf numFmtId="43" fontId="3" fillId="0" borderId="0" xfId="16" applyNumberFormat="1" applyFont="1" applyAlignment="1" applyProtection="1">
      <alignment horizontal="right"/>
      <protection locked="0"/>
    </xf>
    <xf numFmtId="43" fontId="5" fillId="0" borderId="1" xfId="18" applyFont="1" applyBorder="1" applyAlignment="1">
      <alignment horizontal="right"/>
    </xf>
    <xf numFmtId="43" fontId="5" fillId="0" borderId="0" xfId="18" applyFont="1" applyBorder="1" applyAlignment="1">
      <alignment horizontal="right"/>
    </xf>
    <xf numFmtId="43" fontId="3" fillId="0" borderId="1" xfId="16" applyNumberFormat="1" applyFont="1" applyBorder="1" applyAlignment="1" applyProtection="1">
      <alignment horizontal="right"/>
      <protection locked="0"/>
    </xf>
    <xf numFmtId="0" fontId="3" fillId="0" borderId="0" xfId="20" applyFont="1" applyAlignment="1" applyProtection="1">
      <alignment horizontal="right"/>
      <protection locked="0"/>
    </xf>
    <xf numFmtId="0" fontId="5" fillId="0" borderId="0" xfId="0" applyFont="1" applyFill="1" applyAlignment="1">
      <alignment horizontal="right"/>
    </xf>
    <xf numFmtId="49" fontId="8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Continuous"/>
    </xf>
    <xf numFmtId="49" fontId="0" fillId="0" borderId="0" xfId="0" applyNumberFormat="1"/>
    <xf numFmtId="49" fontId="10" fillId="0" borderId="0" xfId="0" applyNumberFormat="1" applyFont="1" applyAlignment="1">
      <alignment horizontal="right"/>
    </xf>
    <xf numFmtId="49" fontId="11" fillId="0" borderId="0" xfId="0" applyNumberFormat="1" applyFont="1" applyAlignment="1">
      <alignment horizontal="centerContinuous"/>
    </xf>
    <xf numFmtId="164" fontId="10" fillId="0" borderId="0" xfId="0" applyNumberFormat="1" applyFont="1" applyAlignment="1">
      <alignment horizontal="right"/>
    </xf>
    <xf numFmtId="49" fontId="12" fillId="0" borderId="0" xfId="0" applyNumberFormat="1" applyFont="1" applyAlignment="1">
      <alignment horizontal="centerContinuous"/>
    </xf>
    <xf numFmtId="49" fontId="9" fillId="0" borderId="0" xfId="0" applyNumberFormat="1" applyFont="1" applyAlignment="1">
      <alignment horizontal="center"/>
    </xf>
    <xf numFmtId="49" fontId="9" fillId="0" borderId="4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9" fontId="9" fillId="0" borderId="0" xfId="0" applyNumberFormat="1" applyFont="1"/>
    <xf numFmtId="165" fontId="13" fillId="0" borderId="0" xfId="0" applyNumberFormat="1" applyFont="1"/>
    <xf numFmtId="49" fontId="13" fillId="0" borderId="0" xfId="0" applyNumberFormat="1" applyFont="1"/>
    <xf numFmtId="165" fontId="13" fillId="0" borderId="5" xfId="0" applyNumberFormat="1" applyFont="1" applyBorder="1"/>
    <xf numFmtId="165" fontId="13" fillId="0" borderId="0" xfId="0" applyNumberFormat="1" applyFont="1" applyBorder="1"/>
    <xf numFmtId="165" fontId="13" fillId="0" borderId="6" xfId="0" applyNumberFormat="1" applyFont="1" applyBorder="1"/>
    <xf numFmtId="165" fontId="9" fillId="0" borderId="7" xfId="0" applyNumberFormat="1" applyFont="1" applyBorder="1"/>
    <xf numFmtId="0" fontId="9" fillId="0" borderId="0" xfId="0" applyFont="1"/>
    <xf numFmtId="0" fontId="9" fillId="0" borderId="0" xfId="0" applyNumberFormat="1" applyFont="1"/>
    <xf numFmtId="0" fontId="0" fillId="0" borderId="0" xfId="0" applyNumberFormat="1"/>
    <xf numFmtId="43" fontId="0" fillId="0" borderId="0" xfId="0" applyNumberFormat="1"/>
    <xf numFmtId="49" fontId="9" fillId="0" borderId="0" xfId="0" applyNumberFormat="1" applyFont="1" applyBorder="1" applyAlignment="1">
      <alignment horizontal="center"/>
    </xf>
    <xf numFmtId="165" fontId="9" fillId="0" borderId="0" xfId="0" applyNumberFormat="1" applyFont="1" applyBorder="1"/>
    <xf numFmtId="41" fontId="5" fillId="0" borderId="0" xfId="18" applyNumberFormat="1" applyFont="1" applyAlignment="1">
      <alignment horizontal="right"/>
    </xf>
    <xf numFmtId="42" fontId="3" fillId="0" borderId="3" xfId="16" applyNumberFormat="1" applyFont="1" applyBorder="1" applyAlignment="1" applyProtection="1">
      <alignment horizontal="right"/>
      <protection locked="0"/>
    </xf>
    <xf numFmtId="42" fontId="3" fillId="0" borderId="0" xfId="16" applyNumberFormat="1" applyFont="1" applyAlignment="1" applyProtection="1">
      <alignment horizontal="right"/>
      <protection locked="0"/>
    </xf>
    <xf numFmtId="41" fontId="3" fillId="0" borderId="0" xfId="18" applyNumberFormat="1" applyFont="1" applyAlignment="1" applyProtection="1">
      <alignment horizontal="right"/>
      <protection locked="0"/>
    </xf>
    <xf numFmtId="41" fontId="3" fillId="0" borderId="2" xfId="18" applyNumberFormat="1" applyFont="1" applyBorder="1" applyAlignment="1" applyProtection="1">
      <alignment horizontal="right"/>
      <protection locked="0"/>
    </xf>
    <xf numFmtId="41" fontId="3" fillId="0" borderId="0" xfId="16" applyNumberFormat="1" applyFont="1" applyAlignment="1" applyProtection="1">
      <alignment horizontal="right"/>
      <protection locked="0"/>
    </xf>
    <xf numFmtId="41" fontId="3" fillId="0" borderId="1" xfId="18" applyNumberFormat="1" applyFont="1" applyBorder="1" applyAlignment="1" applyProtection="1">
      <alignment horizontal="right"/>
      <protection locked="0"/>
    </xf>
    <xf numFmtId="41" fontId="3" fillId="0" borderId="1" xfId="16" applyNumberFormat="1" applyFont="1" applyBorder="1" applyAlignment="1" applyProtection="1">
      <alignment horizontal="right"/>
      <protection locked="0"/>
    </xf>
    <xf numFmtId="41" fontId="5" fillId="0" borderId="0" xfId="18" applyNumberFormat="1" applyFont="1" applyFill="1" applyBorder="1"/>
    <xf numFmtId="41" fontId="5" fillId="0" borderId="1" xfId="18" applyNumberFormat="1" applyFont="1" applyFill="1" applyBorder="1"/>
    <xf numFmtId="41" fontId="5" fillId="0" borderId="0" xfId="0" applyNumberFormat="1" applyFont="1" applyFill="1" applyBorder="1"/>
    <xf numFmtId="41" fontId="5" fillId="0" borderId="8" xfId="18" applyNumberFormat="1" applyFont="1" applyFill="1" applyBorder="1"/>
    <xf numFmtId="41" fontId="5" fillId="0" borderId="2" xfId="18" applyNumberFormat="1" applyFont="1" applyFill="1" applyBorder="1"/>
    <xf numFmtId="41" fontId="6" fillId="0" borderId="0" xfId="18" applyNumberFormat="1" applyFont="1" applyFill="1" applyBorder="1" applyAlignment="1">
      <alignment/>
    </xf>
    <xf numFmtId="42" fontId="5" fillId="0" borderId="3" xfId="16" applyNumberFormat="1" applyFont="1" applyFill="1" applyBorder="1"/>
    <xf numFmtId="4" fontId="0" fillId="0" borderId="0" xfId="0" applyNumberFormat="1"/>
    <xf numFmtId="165" fontId="13" fillId="2" borderId="0" xfId="0" applyNumberFormat="1" applyFont="1" applyFill="1" applyBorder="1"/>
    <xf numFmtId="165" fontId="13" fillId="2" borderId="0" xfId="0" applyNumberFormat="1" applyFont="1" applyFill="1"/>
    <xf numFmtId="165" fontId="13" fillId="2" borderId="6" xfId="0" applyNumberFormat="1" applyFont="1" applyFill="1" applyBorder="1"/>
    <xf numFmtId="4" fontId="9" fillId="0" borderId="0" xfId="0" applyNumberFormat="1" applyFont="1"/>
    <xf numFmtId="42" fontId="0" fillId="0" borderId="0" xfId="0" applyNumberFormat="1"/>
    <xf numFmtId="41" fontId="5" fillId="0" borderId="0" xfId="18" applyNumberFormat="1" applyFont="1" applyBorder="1" applyAlignment="1">
      <alignment horizontal="right"/>
    </xf>
    <xf numFmtId="41" fontId="3" fillId="0" borderId="3" xfId="16" applyNumberFormat="1" applyFont="1" applyBorder="1" applyAlignment="1" applyProtection="1">
      <alignment horizontal="right"/>
      <protection locked="0"/>
    </xf>
    <xf numFmtId="41" fontId="6" fillId="0" borderId="1" xfId="18" applyNumberFormat="1" applyFont="1" applyFill="1" applyBorder="1" applyAlignment="1">
      <alignment/>
    </xf>
    <xf numFmtId="49" fontId="14" fillId="0" borderId="0" xfId="0" applyNumberFormat="1" applyFont="1" applyAlignment="1">
      <alignment horizontal="center"/>
    </xf>
    <xf numFmtId="49" fontId="14" fillId="0" borderId="4" xfId="0" applyNumberFormat="1" applyFont="1" applyBorder="1" applyAlignment="1">
      <alignment horizontal="center"/>
    </xf>
    <xf numFmtId="49" fontId="14" fillId="0" borderId="0" xfId="0" applyNumberFormat="1" applyFont="1"/>
    <xf numFmtId="165" fontId="15" fillId="0" borderId="0" xfId="0" applyNumberFormat="1" applyFont="1"/>
    <xf numFmtId="165" fontId="15" fillId="0" borderId="5" xfId="0" applyNumberFormat="1" applyFont="1" applyBorder="1"/>
    <xf numFmtId="165" fontId="15" fillId="0" borderId="6" xfId="0" applyNumberFormat="1" applyFont="1" applyBorder="1"/>
    <xf numFmtId="165" fontId="14" fillId="0" borderId="7" xfId="0" applyNumberFormat="1" applyFont="1" applyBorder="1"/>
    <xf numFmtId="49" fontId="0" fillId="0" borderId="0" xfId="0" applyNumberFormat="1" applyBorder="1" applyAlignment="1">
      <alignment horizontal="centerContinuous"/>
    </xf>
    <xf numFmtId="49" fontId="14" fillId="0" borderId="9" xfId="0" applyNumberFormat="1" applyFont="1" applyBorder="1" applyAlignment="1">
      <alignment horizontal="center"/>
    </xf>
    <xf numFmtId="165" fontId="15" fillId="0" borderId="0" xfId="0" applyNumberFormat="1" applyFont="1" applyBorder="1"/>
    <xf numFmtId="165" fontId="15" fillId="0" borderId="10" xfId="0" applyNumberFormat="1" applyFont="1" applyBorder="1"/>
    <xf numFmtId="0" fontId="14" fillId="0" borderId="0" xfId="0" applyFont="1"/>
    <xf numFmtId="0" fontId="14" fillId="0" borderId="0" xfId="0" applyNumberFormat="1" applyFont="1"/>
    <xf numFmtId="49" fontId="14" fillId="0" borderId="0" xfId="0" applyNumberFormat="1" applyFont="1" applyBorder="1" applyAlignment="1">
      <alignment horizontal="center"/>
    </xf>
    <xf numFmtId="4" fontId="14" fillId="0" borderId="0" xfId="0" applyNumberFormat="1" applyFont="1"/>
    <xf numFmtId="41" fontId="0" fillId="0" borderId="0" xfId="0" applyNumberFormat="1"/>
    <xf numFmtId="0" fontId="2" fillId="0" borderId="0" xfId="20" applyFont="1" applyAlignment="1" applyProtection="1">
      <alignment horizontal="center"/>
      <protection locked="0"/>
    </xf>
    <xf numFmtId="14" fontId="4" fillId="0" borderId="0" xfId="20" applyNumberFormat="1" applyFont="1" applyAlignment="1" applyProtection="1">
      <alignment horizontal="center"/>
      <protection locked="0"/>
    </xf>
    <xf numFmtId="0" fontId="2" fillId="0" borderId="0" xfId="20" applyFont="1" applyBorder="1" applyAlignment="1" applyProtection="1">
      <alignment horizontal="center"/>
      <protection locked="0"/>
    </xf>
    <xf numFmtId="0" fontId="2" fillId="0" borderId="11" xfId="20" applyFont="1" applyBorder="1" applyAlignment="1" applyProtection="1">
      <alignment horizontal="center"/>
      <protection locked="0"/>
    </xf>
    <xf numFmtId="0" fontId="2" fillId="0" borderId="2" xfId="20" applyFont="1" applyBorder="1" applyAlignment="1" applyProtection="1">
      <alignment horizontal="center"/>
      <protection locked="0"/>
    </xf>
    <xf numFmtId="0" fontId="2" fillId="0" borderId="12" xfId="20" applyFont="1" applyBorder="1" applyAlignment="1" applyProtection="1">
      <alignment horizont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Franklin%20Academy%20PBG\Transfer%203.5.15%20spreadshee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QuickBooks Export Tips"/>
      <sheetName val="Sheet1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"/>
  <sheetViews>
    <sheetView workbookViewId="0" topLeftCell="A16">
      <selection activeCell="G43" sqref="G43"/>
    </sheetView>
  </sheetViews>
  <sheetFormatPr defaultColWidth="9.140625" defaultRowHeight="15"/>
  <cols>
    <col min="1" max="1" width="2.7109375" style="5" customWidth="1"/>
    <col min="2" max="2" width="14.00390625" style="5" customWidth="1"/>
    <col min="3" max="3" width="14.140625" style="5" bestFit="1" customWidth="1"/>
    <col min="4" max="4" width="16.57421875" style="5" customWidth="1"/>
    <col min="5" max="5" width="25.8515625" style="5" bestFit="1" customWidth="1"/>
    <col min="6" max="6" width="1.57421875" style="5" customWidth="1"/>
    <col min="7" max="7" width="24.28125" style="5" customWidth="1"/>
    <col min="8" max="8" width="3.28125" style="12" customWidth="1"/>
    <col min="9" max="9" width="20.7109375" style="5" customWidth="1"/>
    <col min="10" max="10" width="15.421875" style="5" bestFit="1" customWidth="1"/>
    <col min="11" max="16384" width="9.140625" style="5" customWidth="1"/>
  </cols>
  <sheetData>
    <row r="1" spans="1:8" ht="15.75">
      <c r="A1" s="127" t="e">
        <f>#REF!</f>
        <v>#REF!</v>
      </c>
      <c r="B1" s="127"/>
      <c r="C1" s="127"/>
      <c r="D1" s="127"/>
      <c r="E1" s="127"/>
      <c r="F1" s="127"/>
      <c r="G1" s="127"/>
      <c r="H1" s="127"/>
    </row>
    <row r="2" spans="1:14" s="3" customFormat="1" ht="15.75">
      <c r="A2" s="127" t="e">
        <f>#REF!</f>
        <v>#REF!</v>
      </c>
      <c r="B2" s="127"/>
      <c r="C2" s="127"/>
      <c r="D2" s="127"/>
      <c r="E2" s="127"/>
      <c r="F2" s="127"/>
      <c r="G2" s="127"/>
      <c r="H2" s="127"/>
      <c r="I2" s="1"/>
      <c r="J2" s="1"/>
      <c r="K2" s="1"/>
      <c r="L2" s="2"/>
      <c r="M2" s="2"/>
      <c r="N2" s="2"/>
    </row>
    <row r="3" spans="1:14" s="3" customFormat="1" ht="15.75">
      <c r="A3" s="127" t="s">
        <v>68</v>
      </c>
      <c r="B3" s="127"/>
      <c r="C3" s="127"/>
      <c r="D3" s="127"/>
      <c r="E3" s="127"/>
      <c r="F3" s="127"/>
      <c r="G3" s="127"/>
      <c r="H3" s="127"/>
      <c r="I3" s="1"/>
      <c r="J3" s="1"/>
      <c r="K3" s="1"/>
      <c r="L3" s="2"/>
      <c r="M3" s="2"/>
      <c r="N3" s="2"/>
    </row>
    <row r="4" spans="1:14" s="3" customFormat="1" ht="15.75">
      <c r="A4" s="128" t="e">
        <f>#REF!</f>
        <v>#REF!</v>
      </c>
      <c r="B4" s="128"/>
      <c r="C4" s="128"/>
      <c r="D4" s="128"/>
      <c r="E4" s="128"/>
      <c r="F4" s="128"/>
      <c r="G4" s="128"/>
      <c r="H4" s="128"/>
      <c r="I4" s="1"/>
      <c r="J4" s="1"/>
      <c r="K4" s="1"/>
      <c r="L4" s="2"/>
      <c r="M4" s="2"/>
      <c r="N4" s="2"/>
    </row>
    <row r="5" spans="2:10" s="6" customFormat="1" ht="15">
      <c r="B5" s="7"/>
      <c r="C5" s="7"/>
      <c r="D5" s="7"/>
      <c r="E5" s="7"/>
      <c r="F5" s="7"/>
      <c r="G5" s="7"/>
      <c r="H5" s="7"/>
      <c r="I5" s="7"/>
      <c r="J5" s="7"/>
    </row>
    <row r="6" spans="2:3" s="6" customFormat="1" ht="15.75">
      <c r="B6" s="8"/>
      <c r="C6" s="8"/>
    </row>
    <row r="7" spans="1:10" s="6" customFormat="1" ht="15.75">
      <c r="A7" s="9" t="s">
        <v>66</v>
      </c>
      <c r="D7" s="9"/>
      <c r="E7" s="42" t="s">
        <v>73</v>
      </c>
      <c r="F7" s="9"/>
      <c r="G7" s="42" t="s">
        <v>27</v>
      </c>
      <c r="H7" s="11"/>
      <c r="I7" s="9"/>
      <c r="J7" s="9"/>
    </row>
    <row r="8" spans="1:8" s="6" customFormat="1" ht="15">
      <c r="A8" s="6" t="s">
        <v>16</v>
      </c>
      <c r="G8" s="15">
        <v>0</v>
      </c>
      <c r="H8" s="13"/>
    </row>
    <row r="9" spans="2:8" s="6" customFormat="1" ht="15">
      <c r="B9" s="6" t="s">
        <v>17</v>
      </c>
      <c r="E9" s="40">
        <v>1110</v>
      </c>
      <c r="G9" s="95" t="e">
        <f>#REF!</f>
        <v>#REF!</v>
      </c>
      <c r="H9" s="14"/>
    </row>
    <row r="10" spans="2:8" s="6" customFormat="1" ht="15">
      <c r="B10" s="6" t="s">
        <v>1</v>
      </c>
      <c r="E10" s="41">
        <v>1160</v>
      </c>
      <c r="G10" s="95" t="e">
        <f>#REF!</f>
        <v>#REF!</v>
      </c>
      <c r="H10" s="14"/>
    </row>
    <row r="11" spans="2:8" s="6" customFormat="1" ht="15">
      <c r="B11" s="6" t="s">
        <v>31</v>
      </c>
      <c r="E11" s="41">
        <v>1130</v>
      </c>
      <c r="G11" s="95" t="e">
        <f>#REF!</f>
        <v>#REF!</v>
      </c>
      <c r="H11" s="14"/>
    </row>
    <row r="12" spans="2:8" s="6" customFormat="1" ht="15">
      <c r="B12" s="6" t="s">
        <v>32</v>
      </c>
      <c r="E12" s="41">
        <v>1230</v>
      </c>
      <c r="G12" s="95" t="str">
        <f>'BS'!H26</f>
        <v>Last Month</v>
      </c>
      <c r="H12" s="14"/>
    </row>
    <row r="13" spans="2:8" s="6" customFormat="1" ht="15">
      <c r="B13" s="6" t="s">
        <v>18</v>
      </c>
      <c r="E13" s="41">
        <v>1140</v>
      </c>
      <c r="G13" s="95" t="e">
        <f>#REF!</f>
        <v>#REF!</v>
      </c>
      <c r="H13" s="14"/>
    </row>
    <row r="14" spans="2:8" s="6" customFormat="1" ht="15">
      <c r="B14" s="6" t="s">
        <v>75</v>
      </c>
      <c r="E14" s="41" t="s">
        <v>76</v>
      </c>
      <c r="G14" s="96" t="e">
        <f>#REF!-SUM(G9:G13)</f>
        <v>#REF!</v>
      </c>
      <c r="H14" s="14"/>
    </row>
    <row r="15" spans="1:8" s="6" customFormat="1" ht="15">
      <c r="A15" s="6" t="s">
        <v>19</v>
      </c>
      <c r="E15" s="41"/>
      <c r="G15" s="95" t="e">
        <f>SUM(G9:G14)</f>
        <v>#REF!</v>
      </c>
      <c r="H15" s="14"/>
    </row>
    <row r="16" spans="5:8" s="6" customFormat="1" ht="15">
      <c r="E16" s="41"/>
      <c r="G16" s="14"/>
      <c r="H16" s="14"/>
    </row>
    <row r="17" spans="1:8" s="6" customFormat="1" ht="15">
      <c r="A17" s="6" t="s">
        <v>33</v>
      </c>
      <c r="E17" s="41">
        <v>1300</v>
      </c>
      <c r="G17" s="14"/>
      <c r="H17" s="14"/>
    </row>
    <row r="18" spans="1:8" s="6" customFormat="1" ht="15">
      <c r="A18" s="6" t="s">
        <v>34</v>
      </c>
      <c r="E18" s="41">
        <v>1400</v>
      </c>
      <c r="G18" s="14"/>
      <c r="H18" s="14"/>
    </row>
    <row r="19" spans="5:8" s="6" customFormat="1" ht="15">
      <c r="E19" s="41"/>
      <c r="G19" s="14"/>
      <c r="H19" s="14"/>
    </row>
    <row r="20" spans="1:8" s="6" customFormat="1" ht="31.5" customHeight="1" thickBot="1">
      <c r="A20" s="6" t="s">
        <v>20</v>
      </c>
      <c r="B20" s="9"/>
      <c r="E20" s="41"/>
      <c r="G20" s="101" t="e">
        <f>G15+G17+G18</f>
        <v>#REF!</v>
      </c>
      <c r="H20" s="13"/>
    </row>
    <row r="21" spans="2:8" s="6" customFormat="1" ht="16.5" thickTop="1">
      <c r="B21" s="8"/>
      <c r="C21" s="8"/>
      <c r="E21" s="41"/>
      <c r="G21" s="14"/>
      <c r="H21" s="14"/>
    </row>
    <row r="22" spans="5:8" s="6" customFormat="1" ht="15">
      <c r="E22" s="41"/>
      <c r="G22" s="14"/>
      <c r="H22" s="14"/>
    </row>
    <row r="23" spans="1:8" s="6" customFormat="1" ht="15.75">
      <c r="A23" s="9" t="s">
        <v>67</v>
      </c>
      <c r="E23" s="41"/>
      <c r="G23" s="14"/>
      <c r="H23" s="14"/>
    </row>
    <row r="24" spans="1:8" s="6" customFormat="1" ht="15">
      <c r="A24" s="6" t="s">
        <v>24</v>
      </c>
      <c r="E24" s="41"/>
      <c r="G24" s="14"/>
      <c r="H24" s="14"/>
    </row>
    <row r="25" spans="2:8" s="6" customFormat="1" ht="15">
      <c r="B25" s="6" t="s">
        <v>23</v>
      </c>
      <c r="E25" s="40">
        <v>2120</v>
      </c>
      <c r="G25" s="95" t="e">
        <f>#REF!</f>
        <v>#REF!</v>
      </c>
      <c r="H25" s="14"/>
    </row>
    <row r="26" spans="2:8" s="6" customFormat="1" ht="15">
      <c r="B26" s="6" t="s">
        <v>86</v>
      </c>
      <c r="E26" s="40" t="s">
        <v>87</v>
      </c>
      <c r="G26" s="95" t="e">
        <f>#REF!</f>
        <v>#REF!</v>
      </c>
      <c r="H26" s="14"/>
    </row>
    <row r="27" spans="2:8" s="6" customFormat="1" ht="15">
      <c r="B27" s="6" t="s">
        <v>22</v>
      </c>
      <c r="E27" s="41" t="s">
        <v>74</v>
      </c>
      <c r="G27" s="95"/>
      <c r="H27" s="14"/>
    </row>
    <row r="28" spans="2:8" s="6" customFormat="1" ht="15">
      <c r="B28" s="6" t="s">
        <v>36</v>
      </c>
      <c r="E28" s="41" t="s">
        <v>84</v>
      </c>
      <c r="G28" s="95"/>
      <c r="H28" s="14"/>
    </row>
    <row r="29" spans="2:8" s="6" customFormat="1" ht="15">
      <c r="B29" s="6" t="s">
        <v>77</v>
      </c>
      <c r="E29" s="41">
        <v>2315</v>
      </c>
      <c r="G29" s="95"/>
      <c r="H29" s="14"/>
    </row>
    <row r="30" spans="2:8" s="6" customFormat="1" ht="15.75">
      <c r="B30" s="6" t="s">
        <v>21</v>
      </c>
      <c r="C30" s="8"/>
      <c r="E30" s="41">
        <v>2410</v>
      </c>
      <c r="G30" s="97"/>
      <c r="H30" s="14"/>
    </row>
    <row r="31" spans="1:8" s="6" customFormat="1" ht="15">
      <c r="A31" s="6" t="s">
        <v>25</v>
      </c>
      <c r="E31" s="41"/>
      <c r="G31" s="98" t="e">
        <f>SUM(G25:G30)</f>
        <v>#REF!</v>
      </c>
      <c r="H31" s="14"/>
    </row>
    <row r="32" spans="5:8" s="6" customFormat="1" ht="15">
      <c r="E32" s="41"/>
      <c r="G32" s="14"/>
      <c r="H32" s="14"/>
    </row>
    <row r="33" spans="1:8" s="6" customFormat="1" ht="15">
      <c r="A33" s="6" t="s">
        <v>35</v>
      </c>
      <c r="E33" s="41"/>
      <c r="G33" s="14"/>
      <c r="H33" s="14"/>
    </row>
    <row r="34" spans="2:8" s="6" customFormat="1" ht="15">
      <c r="B34" s="6" t="s">
        <v>37</v>
      </c>
      <c r="E34" s="41" t="s">
        <v>84</v>
      </c>
      <c r="G34" s="95" t="e">
        <f>#REF!</f>
        <v>#REF!</v>
      </c>
      <c r="H34" s="14"/>
    </row>
    <row r="35" spans="2:8" s="6" customFormat="1" ht="15">
      <c r="B35" s="6" t="s">
        <v>77</v>
      </c>
      <c r="E35" s="41">
        <v>2315</v>
      </c>
      <c r="G35" s="14"/>
      <c r="H35" s="14"/>
    </row>
    <row r="36" spans="2:8" s="6" customFormat="1" ht="15">
      <c r="B36" s="6" t="s">
        <v>78</v>
      </c>
      <c r="E36" s="41" t="s">
        <v>85</v>
      </c>
      <c r="G36" s="14"/>
      <c r="H36" s="14"/>
    </row>
    <row r="37" spans="1:8" s="6" customFormat="1" ht="15">
      <c r="A37" s="6" t="s">
        <v>38</v>
      </c>
      <c r="E37" s="41"/>
      <c r="G37" s="98" t="e">
        <f>SUM(G34:G36)</f>
        <v>#REF!</v>
      </c>
      <c r="H37" s="14"/>
    </row>
    <row r="38" spans="5:8" s="6" customFormat="1" ht="15">
      <c r="E38" s="41"/>
      <c r="G38" s="14"/>
      <c r="H38" s="14"/>
    </row>
    <row r="39" spans="5:8" s="6" customFormat="1" ht="15">
      <c r="E39" s="41"/>
      <c r="G39" s="14"/>
      <c r="H39" s="14"/>
    </row>
    <row r="40" spans="1:8" s="6" customFormat="1" ht="15">
      <c r="A40" s="6" t="s">
        <v>2</v>
      </c>
      <c r="E40" s="41"/>
      <c r="G40" s="99" t="e">
        <f>G31+G37</f>
        <v>#REF!</v>
      </c>
      <c r="H40" s="14"/>
    </row>
    <row r="41" spans="2:10" s="6" customFormat="1" ht="15.75">
      <c r="B41" s="10"/>
      <c r="C41" s="10"/>
      <c r="D41" s="10"/>
      <c r="E41" s="8"/>
      <c r="F41" s="10"/>
      <c r="G41" s="36"/>
      <c r="H41" s="36"/>
      <c r="I41" s="10"/>
      <c r="J41" s="10"/>
    </row>
    <row r="42" spans="1:11" s="6" customFormat="1" ht="15.75">
      <c r="A42" s="6" t="s">
        <v>28</v>
      </c>
      <c r="B42" s="8"/>
      <c r="C42" s="8"/>
      <c r="D42" s="10"/>
      <c r="E42" s="8"/>
      <c r="F42" s="10"/>
      <c r="G42" s="14"/>
      <c r="H42" s="14"/>
      <c r="I42" s="10"/>
      <c r="J42" s="10"/>
      <c r="K42" s="9"/>
    </row>
    <row r="43" spans="2:11" s="6" customFormat="1" ht="15.75">
      <c r="B43" s="6" t="s">
        <v>30</v>
      </c>
      <c r="C43" s="8"/>
      <c r="D43" s="10"/>
      <c r="E43" s="8"/>
      <c r="F43" s="10"/>
      <c r="G43" s="100" t="e">
        <f>#REF!-G45</f>
        <v>#REF!</v>
      </c>
      <c r="H43" s="36"/>
      <c r="I43" s="10"/>
      <c r="J43" s="10"/>
      <c r="K43" s="9"/>
    </row>
    <row r="44" spans="2:10" s="6" customFormat="1" ht="15.75">
      <c r="B44" s="6" t="s">
        <v>90</v>
      </c>
      <c r="C44" s="8"/>
      <c r="D44" s="9"/>
      <c r="E44" s="8"/>
      <c r="F44" s="9"/>
      <c r="G44" s="37"/>
      <c r="H44" s="37"/>
      <c r="I44" s="9"/>
      <c r="J44" s="9"/>
    </row>
    <row r="45" spans="2:10" s="6" customFormat="1" ht="15.75">
      <c r="B45" s="6" t="s">
        <v>91</v>
      </c>
      <c r="C45" s="8"/>
      <c r="D45" s="9"/>
      <c r="E45" s="8"/>
      <c r="F45" s="9"/>
      <c r="G45" s="110" t="e">
        <f>#REF!+#REF!</f>
        <v>#REF!</v>
      </c>
      <c r="H45" s="36"/>
      <c r="I45" s="9"/>
      <c r="J45" s="9"/>
    </row>
    <row r="46" spans="1:10" s="6" customFormat="1" ht="15.75">
      <c r="A46" s="6" t="s">
        <v>39</v>
      </c>
      <c r="B46" s="8"/>
      <c r="C46" s="8"/>
      <c r="D46" s="9"/>
      <c r="E46" s="8"/>
      <c r="F46" s="9"/>
      <c r="G46" s="95" t="e">
        <f>SUM(G43:G45)</f>
        <v>#REF!</v>
      </c>
      <c r="H46" s="14"/>
      <c r="I46" s="9"/>
      <c r="J46" s="9"/>
    </row>
    <row r="47" spans="2:10" s="6" customFormat="1" ht="15.75">
      <c r="B47" s="8"/>
      <c r="C47" s="8"/>
      <c r="D47" s="9"/>
      <c r="E47" s="9"/>
      <c r="F47" s="9"/>
      <c r="G47" s="14"/>
      <c r="H47" s="14"/>
      <c r="I47" s="9"/>
      <c r="J47" s="9"/>
    </row>
    <row r="48" spans="1:8" s="6" customFormat="1" ht="30" customHeight="1" thickBot="1">
      <c r="A48" s="6" t="s">
        <v>26</v>
      </c>
      <c r="G48" s="101" t="e">
        <f>G46+G40</f>
        <v>#REF!</v>
      </c>
      <c r="H48" s="13"/>
    </row>
    <row r="49" s="6" customFormat="1" ht="15.75" thickTop="1"/>
    <row r="50" s="6" customFormat="1" ht="15"/>
    <row r="51" s="6" customFormat="1" ht="15"/>
    <row r="52" s="6" customFormat="1" ht="15.75">
      <c r="B52" s="9"/>
    </row>
    <row r="53" spans="2:3" s="6" customFormat="1" ht="15.75">
      <c r="B53" s="8"/>
      <c r="C53" s="8"/>
    </row>
    <row r="54" s="6" customFormat="1" ht="15"/>
    <row r="55" s="6" customFormat="1" ht="15"/>
    <row r="56" s="6" customFormat="1" ht="15"/>
    <row r="57" s="6" customFormat="1" ht="15"/>
    <row r="58" s="6" customFormat="1" ht="15"/>
    <row r="59" s="6" customFormat="1" ht="15"/>
    <row r="60" s="6" customFormat="1" ht="15"/>
    <row r="61" s="6" customFormat="1" ht="15"/>
    <row r="62" s="6" customFormat="1" ht="15"/>
    <row r="63" s="6" customFormat="1" ht="15"/>
    <row r="64" s="6" customFormat="1" ht="15"/>
    <row r="65" s="6" customFormat="1" ht="15"/>
    <row r="66" s="6" customFormat="1" ht="15"/>
    <row r="67" s="6" customFormat="1" ht="15"/>
    <row r="68" s="6" customFormat="1" ht="15"/>
    <row r="69" s="6" customFormat="1" ht="15"/>
    <row r="70" s="6" customFormat="1" ht="15.75">
      <c r="B70" s="9"/>
    </row>
    <row r="71" s="6" customFormat="1" ht="15.75">
      <c r="B71" s="8"/>
    </row>
    <row r="72" s="6" customFormat="1" ht="15"/>
    <row r="73" s="6" customFormat="1" ht="15"/>
    <row r="74" spans="2:3" s="6" customFormat="1" ht="15.75">
      <c r="B74" s="8"/>
      <c r="C74" s="8"/>
    </row>
    <row r="75" spans="2:3" s="6" customFormat="1" ht="15.75">
      <c r="B75" s="8"/>
      <c r="C75" s="8"/>
    </row>
    <row r="76" spans="2:3" s="6" customFormat="1" ht="15.75">
      <c r="B76" s="8"/>
      <c r="C76" s="8"/>
    </row>
    <row r="77" s="6" customFormat="1" ht="15"/>
    <row r="78" s="6" customFormat="1" ht="15"/>
  </sheetData>
  <mergeCells count="4">
    <mergeCell ref="A2:H2"/>
    <mergeCell ref="A3:H3"/>
    <mergeCell ref="A4:H4"/>
    <mergeCell ref="A1:H1"/>
  </mergeCells>
  <printOptions/>
  <pageMargins left="0.45" right="0.45" top="0.5" bottom="0.5" header="0.3" footer="0.3"/>
  <pageSetup horizontalDpi="600" verticalDpi="600" orientation="portrait" scale="96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25"/>
  <sheetViews>
    <sheetView zoomScale="70" zoomScaleNormal="70" workbookViewId="0" topLeftCell="A1">
      <selection activeCell="A5" sqref="A5"/>
    </sheetView>
  </sheetViews>
  <sheetFormatPr defaultColWidth="9.140625" defaultRowHeight="15"/>
  <cols>
    <col min="1" max="1" width="3.57421875" style="5" customWidth="1"/>
    <col min="2" max="2" width="48.00390625" style="12" customWidth="1"/>
    <col min="3" max="3" width="14.7109375" style="5" customWidth="1"/>
    <col min="4" max="4" width="15.57421875" style="5" bestFit="1" customWidth="1"/>
    <col min="5" max="5" width="23.8515625" style="5" bestFit="1" customWidth="1"/>
    <col min="6" max="6" width="18.140625" style="5" bestFit="1" customWidth="1"/>
    <col min="7" max="7" width="13.421875" style="5" customWidth="1"/>
    <col min="8" max="8" width="2.7109375" style="5" customWidth="1"/>
    <col min="9" max="12" width="13.421875" style="5" customWidth="1"/>
    <col min="13" max="13" width="2.7109375" style="5" customWidth="1"/>
    <col min="14" max="15" width="13.421875" style="5" customWidth="1"/>
    <col min="16" max="17" width="13.57421875" style="5" customWidth="1"/>
    <col min="18" max="18" width="2.7109375" style="5" customWidth="1"/>
    <col min="19" max="20" width="13.421875" style="5" customWidth="1"/>
    <col min="21" max="21" width="18.140625" style="5" bestFit="1" customWidth="1"/>
    <col min="22" max="22" width="13.421875" style="5" customWidth="1"/>
    <col min="23" max="16384" width="9.140625" style="5" customWidth="1"/>
  </cols>
  <sheetData>
    <row r="1" spans="1:22" ht="15.75">
      <c r="A1" s="129" t="e">
        <f>#REF!</f>
        <v>#REF!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27"/>
    </row>
    <row r="2" spans="1:22" s="3" customFormat="1" ht="15.75">
      <c r="A2" s="129" t="e">
        <f>#REF!</f>
        <v>#REF!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27"/>
    </row>
    <row r="3" spans="1:22" s="3" customFormat="1" ht="15.75">
      <c r="A3" s="129" t="s">
        <v>40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27"/>
    </row>
    <row r="4" spans="1:22" s="3" customFormat="1" ht="15.75">
      <c r="A4" s="129" t="e">
        <f>#REF!</f>
        <v>#REF!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27"/>
    </row>
    <row r="5" spans="2:10" ht="15.75">
      <c r="B5" s="27"/>
      <c r="C5" s="4"/>
      <c r="D5" s="4"/>
      <c r="E5" s="4"/>
      <c r="F5" s="4"/>
      <c r="G5" s="4"/>
      <c r="I5" s="4"/>
      <c r="J5" s="4"/>
    </row>
    <row r="6" spans="2:10" ht="15.75">
      <c r="B6" s="27" t="s">
        <v>88</v>
      </c>
      <c r="C6" s="43"/>
      <c r="D6" s="4"/>
      <c r="E6" s="4"/>
      <c r="F6" s="4"/>
      <c r="G6" s="4"/>
      <c r="I6" s="4"/>
      <c r="J6" s="4"/>
    </row>
    <row r="7" spans="2:10" ht="15.75">
      <c r="B7" s="27" t="s">
        <v>89</v>
      </c>
      <c r="C7" s="35"/>
      <c r="D7" s="44" t="str">
        <f>IF(C6=0,"%",C7/C6)</f>
        <v>%</v>
      </c>
      <c r="E7" s="18" t="s">
        <v>92</v>
      </c>
      <c r="F7" s="4"/>
      <c r="G7" s="4"/>
      <c r="I7" s="4"/>
      <c r="J7" s="4"/>
    </row>
    <row r="8" spans="2:10" ht="15.75">
      <c r="B8" s="27"/>
      <c r="C8" s="27"/>
      <c r="D8" s="4"/>
      <c r="E8" s="4"/>
      <c r="F8" s="4"/>
      <c r="G8" s="4"/>
      <c r="I8" s="4"/>
      <c r="J8" s="4"/>
    </row>
    <row r="9" spans="2:22" ht="15.75">
      <c r="B9" s="27"/>
      <c r="C9" s="4"/>
      <c r="D9" s="130" t="s">
        <v>30</v>
      </c>
      <c r="E9" s="131"/>
      <c r="F9" s="131"/>
      <c r="G9" s="132"/>
      <c r="I9" s="130" t="s">
        <v>29</v>
      </c>
      <c r="J9" s="131"/>
      <c r="K9" s="131"/>
      <c r="L9" s="132"/>
      <c r="N9" s="130" t="s">
        <v>45</v>
      </c>
      <c r="O9" s="131"/>
      <c r="P9" s="131"/>
      <c r="Q9" s="132"/>
      <c r="S9" s="130" t="s">
        <v>71</v>
      </c>
      <c r="T9" s="131"/>
      <c r="U9" s="131"/>
      <c r="V9" s="132"/>
    </row>
    <row r="10" spans="1:22" s="19" customFormat="1" ht="63">
      <c r="A10" s="34" t="s">
        <v>41</v>
      </c>
      <c r="B10" s="32"/>
      <c r="C10" s="33" t="s">
        <v>42</v>
      </c>
      <c r="D10" s="33" t="s">
        <v>44</v>
      </c>
      <c r="E10" s="33" t="s">
        <v>43</v>
      </c>
      <c r="F10" s="33" t="s">
        <v>93</v>
      </c>
      <c r="G10" s="45" t="s">
        <v>94</v>
      </c>
      <c r="H10" s="32"/>
      <c r="I10" s="33" t="s">
        <v>44</v>
      </c>
      <c r="J10" s="33" t="s">
        <v>43</v>
      </c>
      <c r="K10" s="33" t="s">
        <v>93</v>
      </c>
      <c r="L10" s="45" t="s">
        <v>94</v>
      </c>
      <c r="M10" s="32"/>
      <c r="N10" s="33" t="s">
        <v>44</v>
      </c>
      <c r="O10" s="33" t="s">
        <v>43</v>
      </c>
      <c r="P10" s="33" t="s">
        <v>93</v>
      </c>
      <c r="Q10" s="45" t="s">
        <v>94</v>
      </c>
      <c r="S10" s="33" t="s">
        <v>44</v>
      </c>
      <c r="T10" s="33" t="s">
        <v>43</v>
      </c>
      <c r="U10" s="33" t="s">
        <v>93</v>
      </c>
      <c r="V10" s="45" t="s">
        <v>94</v>
      </c>
    </row>
    <row r="11" spans="4:10" ht="15">
      <c r="D11" s="16"/>
      <c r="E11" s="16"/>
      <c r="F11" s="16"/>
      <c r="G11" s="16"/>
      <c r="I11" s="16"/>
      <c r="J11" s="16"/>
    </row>
    <row r="12" spans="1:10" ht="15.75">
      <c r="A12" s="23" t="s">
        <v>57</v>
      </c>
      <c r="C12" s="4"/>
      <c r="D12" s="16"/>
      <c r="E12" s="16"/>
      <c r="F12" s="16"/>
      <c r="G12" s="16"/>
      <c r="I12" s="16"/>
      <c r="J12" s="16"/>
    </row>
    <row r="13" spans="2:10" ht="15.75">
      <c r="B13" s="26" t="s">
        <v>46</v>
      </c>
      <c r="C13" s="4"/>
      <c r="D13" s="16"/>
      <c r="E13" s="16"/>
      <c r="F13" s="16"/>
      <c r="G13" s="16"/>
      <c r="I13" s="16"/>
      <c r="J13" s="16"/>
    </row>
    <row r="14" spans="2:22" ht="15">
      <c r="B14" s="26" t="s">
        <v>55</v>
      </c>
      <c r="C14" s="16">
        <v>3100</v>
      </c>
      <c r="D14" s="89">
        <v>0</v>
      </c>
      <c r="E14" s="89">
        <v>0</v>
      </c>
      <c r="F14" s="89">
        <v>0</v>
      </c>
      <c r="G14" s="44" t="str">
        <f>IF(F14=0,"%",E14/F14)</f>
        <v>%</v>
      </c>
      <c r="H14" s="39"/>
      <c r="I14" s="89">
        <v>0</v>
      </c>
      <c r="J14" s="89">
        <v>0</v>
      </c>
      <c r="K14" s="89">
        <v>0</v>
      </c>
      <c r="L14" s="44" t="str">
        <f>IF(K14=0,"%",J14/K14)</f>
        <v>%</v>
      </c>
      <c r="M14" s="54"/>
      <c r="N14" s="89">
        <v>0</v>
      </c>
      <c r="O14" s="89">
        <v>0</v>
      </c>
      <c r="P14" s="89">
        <v>0</v>
      </c>
      <c r="Q14" s="44" t="str">
        <f>IF(P14=0,"%",O14/P14)</f>
        <v>%</v>
      </c>
      <c r="R14" s="55"/>
      <c r="S14" s="89">
        <f aca="true" t="shared" si="0" ref="S14:U15">D14+I14+N14</f>
        <v>0</v>
      </c>
      <c r="T14" s="89">
        <f t="shared" si="0"/>
        <v>0</v>
      </c>
      <c r="U14" s="89">
        <f t="shared" si="0"/>
        <v>0</v>
      </c>
      <c r="V14" s="44" t="str">
        <f>IF(U14=0,"%",T14/U14)</f>
        <v>%</v>
      </c>
    </row>
    <row r="15" spans="2:22" ht="15">
      <c r="B15" s="26" t="s">
        <v>54</v>
      </c>
      <c r="C15" s="24">
        <v>3200</v>
      </c>
      <c r="D15" s="48"/>
      <c r="E15" s="48"/>
      <c r="F15" s="48"/>
      <c r="G15" s="44" t="str">
        <f>IF(F15=0,"",E15/F15)</f>
        <v/>
      </c>
      <c r="H15" s="38"/>
      <c r="I15" s="48"/>
      <c r="J15" s="48"/>
      <c r="K15" s="56"/>
      <c r="L15" s="44" t="str">
        <f>IF(K15=0,"",J15/K15)</f>
        <v/>
      </c>
      <c r="M15" s="56"/>
      <c r="N15" s="56"/>
      <c r="O15" s="56"/>
      <c r="P15" s="56"/>
      <c r="Q15" s="44" t="str">
        <f>IF(P15=0,"",O15/P15)</f>
        <v/>
      </c>
      <c r="R15" s="55"/>
      <c r="S15" s="57">
        <f t="shared" si="0"/>
        <v>0</v>
      </c>
      <c r="T15" s="57">
        <f t="shared" si="0"/>
        <v>0</v>
      </c>
      <c r="U15" s="57">
        <f t="shared" si="0"/>
        <v>0</v>
      </c>
      <c r="V15" s="44" t="str">
        <f>IF(U15=0,"",T15/U15)</f>
        <v/>
      </c>
    </row>
    <row r="16" spans="2:22" ht="15">
      <c r="B16" s="26" t="s">
        <v>47</v>
      </c>
      <c r="C16" s="16"/>
      <c r="D16" s="48"/>
      <c r="E16" s="48"/>
      <c r="F16" s="48"/>
      <c r="G16" s="49"/>
      <c r="H16" s="38"/>
      <c r="I16" s="48"/>
      <c r="J16" s="48"/>
      <c r="K16" s="56"/>
      <c r="L16" s="49"/>
      <c r="M16" s="56"/>
      <c r="N16" s="56"/>
      <c r="O16" s="56"/>
      <c r="P16" s="56"/>
      <c r="Q16" s="49"/>
      <c r="R16" s="55"/>
      <c r="S16" s="56"/>
      <c r="T16" s="56"/>
      <c r="U16" s="87"/>
      <c r="V16" s="49"/>
    </row>
    <row r="17" spans="2:22" ht="15">
      <c r="B17" s="26" t="s">
        <v>48</v>
      </c>
      <c r="C17" s="16">
        <v>3310</v>
      </c>
      <c r="D17" s="90" t="e">
        <f>#REF!</f>
        <v>#REF!</v>
      </c>
      <c r="E17" s="90" t="e">
        <f>#REF!</f>
        <v>#REF!</v>
      </c>
      <c r="F17" s="90" t="e">
        <f>#REF!</f>
        <v>#REF!</v>
      </c>
      <c r="G17" s="44" t="e">
        <f>IF(F17=0,"",E17/F17)</f>
        <v>#REF!</v>
      </c>
      <c r="H17" s="38"/>
      <c r="I17" s="90"/>
      <c r="J17" s="90"/>
      <c r="K17" s="87"/>
      <c r="L17" s="44" t="str">
        <f>IF(K17=0,"",J17/K17)</f>
        <v/>
      </c>
      <c r="M17" s="56"/>
      <c r="N17" s="56"/>
      <c r="O17" s="56"/>
      <c r="P17" s="56"/>
      <c r="Q17" s="44" t="str">
        <f>IF(P17=0,"",O17/P17)</f>
        <v/>
      </c>
      <c r="R17" s="55"/>
      <c r="S17" s="92" t="e">
        <f aca="true" t="shared" si="1" ref="S17:U21">D17+I17+N17</f>
        <v>#REF!</v>
      </c>
      <c r="T17" s="92" t="e">
        <f t="shared" si="1"/>
        <v>#REF!</v>
      </c>
      <c r="U17" s="92" t="e">
        <f t="shared" si="1"/>
        <v>#REF!</v>
      </c>
      <c r="V17" s="44" t="e">
        <f>IF(U17=0,"",T17/U17)</f>
        <v>#REF!</v>
      </c>
    </row>
    <row r="18" spans="2:22" ht="15">
      <c r="B18" s="26" t="s">
        <v>53</v>
      </c>
      <c r="C18" s="16">
        <v>3397</v>
      </c>
      <c r="D18" s="90"/>
      <c r="E18" s="90"/>
      <c r="F18" s="48"/>
      <c r="G18" s="44" t="str">
        <f>IF(F18=0,"",E18/F18)</f>
        <v/>
      </c>
      <c r="H18" s="38"/>
      <c r="I18" s="90"/>
      <c r="J18" s="90"/>
      <c r="K18" s="87"/>
      <c r="L18" s="44" t="str">
        <f>IF(K18=0,"",J18/K18)</f>
        <v/>
      </c>
      <c r="M18" s="56"/>
      <c r="N18" s="56"/>
      <c r="O18" s="56"/>
      <c r="P18" s="56"/>
      <c r="Q18" s="44" t="str">
        <f>IF(P18=0,"",O18/P18)</f>
        <v/>
      </c>
      <c r="R18" s="55"/>
      <c r="S18" s="92">
        <f t="shared" si="1"/>
        <v>0</v>
      </c>
      <c r="T18" s="92">
        <f t="shared" si="1"/>
        <v>0</v>
      </c>
      <c r="U18" s="92">
        <f t="shared" si="1"/>
        <v>0</v>
      </c>
      <c r="V18" s="44" t="str">
        <f>IF(U18=0,"",T18/U18)</f>
        <v/>
      </c>
    </row>
    <row r="19" spans="2:22" ht="15">
      <c r="B19" s="26" t="s">
        <v>52</v>
      </c>
      <c r="C19" s="16">
        <v>3355</v>
      </c>
      <c r="D19" s="90"/>
      <c r="E19" s="90"/>
      <c r="F19" s="48"/>
      <c r="G19" s="44" t="str">
        <f>IF(F19=0,"",E19/F19)</f>
        <v/>
      </c>
      <c r="H19" s="38"/>
      <c r="I19" s="90"/>
      <c r="J19" s="90"/>
      <c r="K19" s="87"/>
      <c r="L19" s="44" t="str">
        <f>IF(K19=0,"",J19/K19)</f>
        <v/>
      </c>
      <c r="M19" s="56"/>
      <c r="N19" s="56"/>
      <c r="O19" s="56"/>
      <c r="P19" s="56"/>
      <c r="Q19" s="44" t="str">
        <f>IF(P19=0,"",O19/P19)</f>
        <v/>
      </c>
      <c r="R19" s="55"/>
      <c r="S19" s="92">
        <f t="shared" si="1"/>
        <v>0</v>
      </c>
      <c r="T19" s="92">
        <f t="shared" si="1"/>
        <v>0</v>
      </c>
      <c r="U19" s="92">
        <f t="shared" si="1"/>
        <v>0</v>
      </c>
      <c r="V19" s="44" t="str">
        <f>IF(U19=0,"",T19/U19)</f>
        <v/>
      </c>
    </row>
    <row r="20" spans="2:22" ht="15">
      <c r="B20" s="26" t="s">
        <v>79</v>
      </c>
      <c r="C20" s="16">
        <v>3361</v>
      </c>
      <c r="D20" s="90"/>
      <c r="E20" s="90"/>
      <c r="F20" s="48"/>
      <c r="G20" s="44" t="str">
        <f>IF(F20=0,"",E20/F20)</f>
        <v/>
      </c>
      <c r="H20" s="38"/>
      <c r="I20" s="90"/>
      <c r="J20" s="90"/>
      <c r="K20" s="87"/>
      <c r="L20" s="44" t="str">
        <f>IF(K20=0,"",J20/K20)</f>
        <v/>
      </c>
      <c r="M20" s="56"/>
      <c r="N20" s="56"/>
      <c r="O20" s="56"/>
      <c r="P20" s="56"/>
      <c r="Q20" s="44" t="str">
        <f>IF(P20=0,"",O20/P20)</f>
        <v/>
      </c>
      <c r="R20" s="55"/>
      <c r="S20" s="92">
        <f t="shared" si="1"/>
        <v>0</v>
      </c>
      <c r="T20" s="92">
        <f t="shared" si="1"/>
        <v>0</v>
      </c>
      <c r="U20" s="92">
        <f t="shared" si="1"/>
        <v>0</v>
      </c>
      <c r="V20" s="44" t="str">
        <f>IF(U20=0,"",T20/U20)</f>
        <v/>
      </c>
    </row>
    <row r="21" spans="2:22" ht="15">
      <c r="B21" s="26" t="s">
        <v>83</v>
      </c>
      <c r="C21" s="16" t="s">
        <v>82</v>
      </c>
      <c r="D21" s="90"/>
      <c r="E21" s="90"/>
      <c r="F21" s="48"/>
      <c r="G21" s="44" t="str">
        <f>IF(F21=0,"",E21/F21)</f>
        <v/>
      </c>
      <c r="H21" s="38"/>
      <c r="I21" s="48"/>
      <c r="J21" s="48"/>
      <c r="K21" s="56"/>
      <c r="L21" s="44" t="str">
        <f>IF(K21=0,"",J21/K21)</f>
        <v/>
      </c>
      <c r="M21" s="56"/>
      <c r="N21" s="56"/>
      <c r="O21" s="56"/>
      <c r="P21" s="56"/>
      <c r="Q21" s="44" t="str">
        <f>IF(P21=0,"",O21/P21)</f>
        <v/>
      </c>
      <c r="R21" s="55"/>
      <c r="S21" s="92">
        <f t="shared" si="1"/>
        <v>0</v>
      </c>
      <c r="T21" s="92">
        <f t="shared" si="1"/>
        <v>0</v>
      </c>
      <c r="U21" s="92">
        <f t="shared" si="1"/>
        <v>0</v>
      </c>
      <c r="V21" s="44" t="str">
        <f>IF(U21=0,"",T21/U21)</f>
        <v/>
      </c>
    </row>
    <row r="22" spans="2:22" ht="15">
      <c r="B22" s="26" t="s">
        <v>49</v>
      </c>
      <c r="C22" s="16"/>
      <c r="D22" s="90"/>
      <c r="E22" s="90"/>
      <c r="F22" s="48"/>
      <c r="G22" s="49"/>
      <c r="H22" s="38"/>
      <c r="I22" s="48"/>
      <c r="J22" s="48"/>
      <c r="K22" s="56"/>
      <c r="L22" s="49"/>
      <c r="M22" s="56"/>
      <c r="N22" s="56"/>
      <c r="O22" s="56"/>
      <c r="P22" s="56"/>
      <c r="Q22" s="49"/>
      <c r="R22" s="55"/>
      <c r="S22" s="87"/>
      <c r="T22" s="87"/>
      <c r="U22" s="87"/>
      <c r="V22" s="49"/>
    </row>
    <row r="23" spans="2:22" ht="15">
      <c r="B23" s="26" t="s">
        <v>50</v>
      </c>
      <c r="C23" s="16">
        <v>3430</v>
      </c>
      <c r="D23" s="90"/>
      <c r="E23" s="90"/>
      <c r="F23" s="48"/>
      <c r="G23" s="44" t="str">
        <f>IF(F23=0,"",E23/F23)</f>
        <v/>
      </c>
      <c r="H23" s="38"/>
      <c r="I23" s="48"/>
      <c r="J23" s="48"/>
      <c r="K23" s="56"/>
      <c r="L23" s="44" t="str">
        <f>IF(K23=0,"",J23/K23)</f>
        <v/>
      </c>
      <c r="M23" s="56"/>
      <c r="N23" s="56"/>
      <c r="O23" s="56"/>
      <c r="P23" s="56"/>
      <c r="Q23" s="44" t="str">
        <f>IF(P23=0,"",O23/P23)</f>
        <v/>
      </c>
      <c r="R23" s="55"/>
      <c r="S23" s="92">
        <f aca="true" t="shared" si="2" ref="S23:U25">D23+I23+N23</f>
        <v>0</v>
      </c>
      <c r="T23" s="92">
        <f t="shared" si="2"/>
        <v>0</v>
      </c>
      <c r="U23" s="92">
        <f t="shared" si="2"/>
        <v>0</v>
      </c>
      <c r="V23" s="44" t="str">
        <f>IF(U23=0,"",T23/U23)</f>
        <v/>
      </c>
    </row>
    <row r="24" spans="2:22" ht="15">
      <c r="B24" s="26" t="s">
        <v>80</v>
      </c>
      <c r="C24" s="16">
        <v>3413</v>
      </c>
      <c r="D24" s="90"/>
      <c r="E24" s="90"/>
      <c r="F24" s="48"/>
      <c r="G24" s="44" t="str">
        <f>IF(F24=0,"",E24/F24)</f>
        <v/>
      </c>
      <c r="H24" s="38"/>
      <c r="I24" s="48"/>
      <c r="J24" s="48"/>
      <c r="K24" s="56"/>
      <c r="L24" s="44" t="str">
        <f>IF(K24=0,"",J24/K24)</f>
        <v/>
      </c>
      <c r="M24" s="56"/>
      <c r="N24" s="56"/>
      <c r="O24" s="56"/>
      <c r="P24" s="56"/>
      <c r="Q24" s="44" t="str">
        <f>IF(P24=0,"",O24/P24)</f>
        <v/>
      </c>
      <c r="R24" s="55"/>
      <c r="S24" s="92">
        <f t="shared" si="2"/>
        <v>0</v>
      </c>
      <c r="T24" s="92">
        <f t="shared" si="2"/>
        <v>0</v>
      </c>
      <c r="U24" s="92">
        <f t="shared" si="2"/>
        <v>0</v>
      </c>
      <c r="V24" s="44" t="str">
        <f>IF(U24=0,"",T24/U24)</f>
        <v/>
      </c>
    </row>
    <row r="25" spans="2:22" ht="15">
      <c r="B25" s="26" t="s">
        <v>51</v>
      </c>
      <c r="C25" s="16" t="s">
        <v>81</v>
      </c>
      <c r="D25" s="90"/>
      <c r="E25" s="90"/>
      <c r="F25" s="48"/>
      <c r="G25" s="44" t="str">
        <f>IF(F25=0,"",E25/F25)</f>
        <v/>
      </c>
      <c r="H25" s="38"/>
      <c r="I25" s="48"/>
      <c r="J25" s="48"/>
      <c r="K25" s="56"/>
      <c r="L25" s="44" t="str">
        <f>IF(K25=0,"",J25/K25)</f>
        <v/>
      </c>
      <c r="M25" s="56"/>
      <c r="N25" s="56"/>
      <c r="O25" s="56"/>
      <c r="P25" s="56"/>
      <c r="Q25" s="44" t="str">
        <f>IF(P25=0,"",O25/P25)</f>
        <v/>
      </c>
      <c r="R25" s="55"/>
      <c r="S25" s="92">
        <f t="shared" si="2"/>
        <v>0</v>
      </c>
      <c r="T25" s="92">
        <f t="shared" si="2"/>
        <v>0</v>
      </c>
      <c r="U25" s="92">
        <f t="shared" si="2"/>
        <v>0</v>
      </c>
      <c r="V25" s="44" t="str">
        <f>IF(U25=0,"",T25/U25)</f>
        <v/>
      </c>
    </row>
    <row r="26" spans="1:22" ht="15.75">
      <c r="A26" s="26" t="s">
        <v>56</v>
      </c>
      <c r="B26" s="5"/>
      <c r="C26" s="4"/>
      <c r="D26" s="91" t="e">
        <f>SUM(D14:D25)</f>
        <v>#REF!</v>
      </c>
      <c r="E26" s="91" t="e">
        <f>SUM(E14:E25)</f>
        <v>#REF!</v>
      </c>
      <c r="F26" s="91" t="e">
        <f>SUM(F14:F25)</f>
        <v>#REF!</v>
      </c>
      <c r="G26" s="51" t="e">
        <f>IF(F26=0,"",E26/F26)</f>
        <v>#REF!</v>
      </c>
      <c r="H26" s="38"/>
      <c r="I26" s="50">
        <f>SUM(I14:I25)</f>
        <v>0</v>
      </c>
      <c r="J26" s="50">
        <f>SUM(J14:J25)</f>
        <v>0</v>
      </c>
      <c r="K26" s="50">
        <f>SUM(K14:K25)</f>
        <v>0</v>
      </c>
      <c r="L26" s="51" t="str">
        <f>IF(K26=0,"",J26/K26)</f>
        <v/>
      </c>
      <c r="M26" s="56"/>
      <c r="N26" s="50">
        <f>SUM(N14:N25)</f>
        <v>0</v>
      </c>
      <c r="O26" s="50">
        <f>SUM(O14:O25)</f>
        <v>0</v>
      </c>
      <c r="P26" s="50">
        <f>SUM(P14:P25)</f>
        <v>0</v>
      </c>
      <c r="Q26" s="51" t="str">
        <f>IF(P26=0,"",O26/P26)</f>
        <v/>
      </c>
      <c r="R26" s="55"/>
      <c r="S26" s="91" t="e">
        <f>SUM(S14:S25)</f>
        <v>#REF!</v>
      </c>
      <c r="T26" s="91" t="e">
        <f>SUM(T14:T25)</f>
        <v>#REF!</v>
      </c>
      <c r="U26" s="91" t="e">
        <f>SUM(U14:U25)</f>
        <v>#REF!</v>
      </c>
      <c r="V26" s="51" t="e">
        <f>IF(U26=0,"",T26/U26)</f>
        <v>#REF!</v>
      </c>
    </row>
    <row r="27" spans="2:22" ht="15.75">
      <c r="B27" s="27"/>
      <c r="C27" s="4"/>
      <c r="D27" s="48"/>
      <c r="E27" s="48"/>
      <c r="F27" s="90"/>
      <c r="G27" s="49"/>
      <c r="H27" s="38"/>
      <c r="I27" s="48"/>
      <c r="J27" s="48"/>
      <c r="K27" s="56"/>
      <c r="L27" s="49"/>
      <c r="M27" s="56"/>
      <c r="N27" s="56"/>
      <c r="O27" s="56"/>
      <c r="P27" s="56"/>
      <c r="Q27" s="49"/>
      <c r="R27" s="55"/>
      <c r="S27" s="56"/>
      <c r="T27" s="56"/>
      <c r="U27" s="87"/>
      <c r="V27" s="49"/>
    </row>
    <row r="28" spans="1:22" ht="15">
      <c r="A28" s="28" t="s">
        <v>69</v>
      </c>
      <c r="B28" s="5"/>
      <c r="C28" s="16" t="s">
        <v>70</v>
      </c>
      <c r="D28" s="52"/>
      <c r="E28" s="52"/>
      <c r="F28" s="93" t="e">
        <f>-#REF!</f>
        <v>#REF!</v>
      </c>
      <c r="G28" s="53" t="e">
        <f>IF(F28=0,"",E28/F28)</f>
        <v>#REF!</v>
      </c>
      <c r="H28" s="38"/>
      <c r="I28" s="52"/>
      <c r="J28" s="52"/>
      <c r="K28" s="58"/>
      <c r="L28" s="53" t="str">
        <f>IF(K28=0,"",J28/K28)</f>
        <v/>
      </c>
      <c r="M28" s="56"/>
      <c r="N28" s="58"/>
      <c r="O28" s="58"/>
      <c r="P28" s="58"/>
      <c r="Q28" s="53" t="str">
        <f>IF(P28=0,"",O28/P28)</f>
        <v/>
      </c>
      <c r="R28" s="55"/>
      <c r="S28" s="60">
        <f>D28+I28+N28</f>
        <v>0</v>
      </c>
      <c r="T28" s="60">
        <f>E28+J28+O28</f>
        <v>0</v>
      </c>
      <c r="U28" s="94" t="e">
        <f>F28+K28+P28</f>
        <v>#REF!</v>
      </c>
      <c r="V28" s="53" t="e">
        <f>IF(U28=0,"",T28/U28)</f>
        <v>#REF!</v>
      </c>
    </row>
    <row r="29" spans="2:22" ht="15.75">
      <c r="B29" s="26"/>
      <c r="C29" s="4"/>
      <c r="D29" s="48"/>
      <c r="E29" s="48"/>
      <c r="F29" s="90"/>
      <c r="G29" s="49"/>
      <c r="H29" s="38"/>
      <c r="I29" s="48"/>
      <c r="J29" s="48"/>
      <c r="K29" s="56"/>
      <c r="L29" s="49"/>
      <c r="M29" s="56"/>
      <c r="N29" s="56"/>
      <c r="O29" s="56"/>
      <c r="P29" s="56"/>
      <c r="Q29" s="49"/>
      <c r="R29" s="55"/>
      <c r="S29" s="56"/>
      <c r="T29" s="56"/>
      <c r="U29" s="87"/>
      <c r="V29" s="49"/>
    </row>
    <row r="30" spans="1:22" ht="26.25" customHeight="1">
      <c r="A30" s="25" t="s">
        <v>58</v>
      </c>
      <c r="B30" s="5"/>
      <c r="C30" s="4"/>
      <c r="D30" s="93" t="e">
        <f>D28+D26</f>
        <v>#REF!</v>
      </c>
      <c r="E30" s="93" t="e">
        <f aca="true" t="shared" si="3" ref="E30:P30">E28+E26</f>
        <v>#REF!</v>
      </c>
      <c r="F30" s="93" t="e">
        <f t="shared" si="3"/>
        <v>#REF!</v>
      </c>
      <c r="G30" s="53" t="e">
        <f>IF(F30=0,"",E30/F30)</f>
        <v>#REF!</v>
      </c>
      <c r="H30" s="38"/>
      <c r="I30" s="52">
        <f t="shared" si="3"/>
        <v>0</v>
      </c>
      <c r="J30" s="52">
        <f t="shared" si="3"/>
        <v>0</v>
      </c>
      <c r="K30" s="52">
        <f t="shared" si="3"/>
        <v>0</v>
      </c>
      <c r="L30" s="53" t="str">
        <f>IF(K30=0,"",J30/K30)</f>
        <v/>
      </c>
      <c r="M30" s="56"/>
      <c r="N30" s="52">
        <f t="shared" si="3"/>
        <v>0</v>
      </c>
      <c r="O30" s="52">
        <f t="shared" si="3"/>
        <v>0</v>
      </c>
      <c r="P30" s="52">
        <f t="shared" si="3"/>
        <v>0</v>
      </c>
      <c r="Q30" s="53" t="str">
        <f>IF(P30=0,"",O30/P30)</f>
        <v/>
      </c>
      <c r="R30" s="55"/>
      <c r="S30" s="93" t="e">
        <f>S28+S26</f>
        <v>#REF!</v>
      </c>
      <c r="T30" s="93" t="e">
        <f>T28+T26</f>
        <v>#REF!</v>
      </c>
      <c r="U30" s="93" t="e">
        <f>U28+U26</f>
        <v>#REF!</v>
      </c>
      <c r="V30" s="53" t="e">
        <f>IF(U30=0,"",T30/U30)</f>
        <v>#REF!</v>
      </c>
    </row>
    <row r="31" spans="2:22" ht="15.75">
      <c r="B31" s="26"/>
      <c r="C31" s="4"/>
      <c r="D31" s="48"/>
      <c r="E31" s="48"/>
      <c r="F31" s="48"/>
      <c r="G31" s="49"/>
      <c r="H31" s="38"/>
      <c r="I31" s="48"/>
      <c r="J31" s="48"/>
      <c r="K31" s="56"/>
      <c r="L31" s="49"/>
      <c r="M31" s="56"/>
      <c r="N31" s="56"/>
      <c r="O31" s="56"/>
      <c r="P31" s="56"/>
      <c r="Q31" s="49"/>
      <c r="R31" s="55"/>
      <c r="S31" s="56"/>
      <c r="T31" s="56"/>
      <c r="U31" s="87"/>
      <c r="V31" s="49"/>
    </row>
    <row r="32" spans="1:22" ht="15.75">
      <c r="A32" s="29" t="s">
        <v>59</v>
      </c>
      <c r="B32" s="5"/>
      <c r="C32" s="4"/>
      <c r="D32" s="48"/>
      <c r="E32" s="48"/>
      <c r="F32" s="48"/>
      <c r="G32" s="49"/>
      <c r="H32" s="38"/>
      <c r="I32" s="48"/>
      <c r="J32" s="48"/>
      <c r="K32" s="56"/>
      <c r="L32" s="49"/>
      <c r="M32" s="56"/>
      <c r="N32" s="56"/>
      <c r="O32" s="56"/>
      <c r="P32" s="56"/>
      <c r="Q32" s="49"/>
      <c r="R32" s="55"/>
      <c r="S32" s="56"/>
      <c r="T32" s="56"/>
      <c r="U32" s="87"/>
      <c r="V32" s="49"/>
    </row>
    <row r="33" spans="1:22" ht="15.75">
      <c r="A33" s="28" t="s">
        <v>72</v>
      </c>
      <c r="B33" s="5"/>
      <c r="C33" s="4"/>
      <c r="D33" s="48"/>
      <c r="E33" s="48"/>
      <c r="F33" s="48"/>
      <c r="G33" s="49"/>
      <c r="H33" s="38"/>
      <c r="I33" s="48"/>
      <c r="J33" s="48"/>
      <c r="K33" s="56"/>
      <c r="L33" s="49"/>
      <c r="M33" s="56"/>
      <c r="N33" s="56"/>
      <c r="O33" s="56"/>
      <c r="P33" s="56"/>
      <c r="Q33" s="49"/>
      <c r="R33" s="55"/>
      <c r="S33" s="56"/>
      <c r="T33" s="56"/>
      <c r="U33" s="87"/>
      <c r="V33" s="49"/>
    </row>
    <row r="34" spans="2:22" ht="15">
      <c r="B34" s="28" t="s">
        <v>3</v>
      </c>
      <c r="C34" s="16">
        <v>5000</v>
      </c>
      <c r="D34" s="90" t="e">
        <f>#REF!</f>
        <v>#REF!</v>
      </c>
      <c r="E34" s="90" t="e">
        <f>#REF!</f>
        <v>#REF!</v>
      </c>
      <c r="F34" s="90" t="e">
        <f>#REF!</f>
        <v>#REF!</v>
      </c>
      <c r="G34" s="49" t="e">
        <f aca="true" t="shared" si="4" ref="G34:G47">IF(F34=0,"",E34/F34)</f>
        <v>#REF!</v>
      </c>
      <c r="H34" s="38"/>
      <c r="I34" s="48"/>
      <c r="J34" s="48"/>
      <c r="K34" s="56"/>
      <c r="L34" s="49" t="str">
        <f aca="true" t="shared" si="5" ref="L34:L47">IF(K34=0,"",J34/K34)</f>
        <v/>
      </c>
      <c r="M34" s="56"/>
      <c r="N34" s="56"/>
      <c r="O34" s="56"/>
      <c r="P34" s="56"/>
      <c r="Q34" s="49" t="str">
        <f aca="true" t="shared" si="6" ref="Q34:Q47">IF(P34=0,"",O34/P34)</f>
        <v/>
      </c>
      <c r="R34" s="55"/>
      <c r="S34" s="92" t="e">
        <f>D34+I34+N34</f>
        <v>#REF!</v>
      </c>
      <c r="T34" s="92" t="e">
        <f aca="true" t="shared" si="7" ref="T34:T47">E34+J34+O34</f>
        <v>#REF!</v>
      </c>
      <c r="U34" s="92" t="e">
        <f aca="true" t="shared" si="8" ref="U34:U47">F34+K34+P34</f>
        <v>#REF!</v>
      </c>
      <c r="V34" s="49" t="e">
        <f aca="true" t="shared" si="9" ref="V34:V47">IF(U34=0,"",T34/U34)</f>
        <v>#REF!</v>
      </c>
    </row>
    <row r="35" spans="2:22" ht="15">
      <c r="B35" s="28" t="s">
        <v>4</v>
      </c>
      <c r="C35" s="16">
        <v>6000</v>
      </c>
      <c r="D35" s="90" t="e">
        <f>#REF!</f>
        <v>#REF!</v>
      </c>
      <c r="E35" s="90" t="e">
        <f>#REF!</f>
        <v>#REF!</v>
      </c>
      <c r="F35" s="90" t="e">
        <f>#REF!</f>
        <v>#REF!</v>
      </c>
      <c r="G35" s="49" t="e">
        <f t="shared" si="4"/>
        <v>#REF!</v>
      </c>
      <c r="H35" s="38"/>
      <c r="I35" s="48"/>
      <c r="J35" s="48"/>
      <c r="K35" s="56"/>
      <c r="L35" s="49" t="str">
        <f t="shared" si="5"/>
        <v/>
      </c>
      <c r="M35" s="56"/>
      <c r="N35" s="56"/>
      <c r="O35" s="56"/>
      <c r="P35" s="56"/>
      <c r="Q35" s="49" t="str">
        <f t="shared" si="6"/>
        <v/>
      </c>
      <c r="R35" s="55"/>
      <c r="S35" s="92" t="e">
        <f aca="true" t="shared" si="10" ref="S35:S47">D35+I35+N35</f>
        <v>#REF!</v>
      </c>
      <c r="T35" s="92" t="e">
        <f t="shared" si="7"/>
        <v>#REF!</v>
      </c>
      <c r="U35" s="92" t="e">
        <f t="shared" si="8"/>
        <v>#REF!</v>
      </c>
      <c r="V35" s="49" t="e">
        <f t="shared" si="9"/>
        <v>#REF!</v>
      </c>
    </row>
    <row r="36" spans="2:22" ht="15">
      <c r="B36" s="28" t="s">
        <v>5</v>
      </c>
      <c r="C36" s="16">
        <v>7100</v>
      </c>
      <c r="D36" s="90" t="e">
        <f>#REF!</f>
        <v>#REF!</v>
      </c>
      <c r="E36" s="90" t="e">
        <f>#REF!</f>
        <v>#REF!</v>
      </c>
      <c r="F36" s="90" t="e">
        <f>#REF!</f>
        <v>#REF!</v>
      </c>
      <c r="G36" s="49" t="e">
        <f t="shared" si="4"/>
        <v>#REF!</v>
      </c>
      <c r="H36" s="38"/>
      <c r="I36" s="48"/>
      <c r="J36" s="48"/>
      <c r="K36" s="56"/>
      <c r="L36" s="49" t="str">
        <f t="shared" si="5"/>
        <v/>
      </c>
      <c r="M36" s="56"/>
      <c r="N36" s="56"/>
      <c r="O36" s="56"/>
      <c r="P36" s="56"/>
      <c r="Q36" s="49" t="str">
        <f t="shared" si="6"/>
        <v/>
      </c>
      <c r="R36" s="55"/>
      <c r="S36" s="92" t="e">
        <f t="shared" si="10"/>
        <v>#REF!</v>
      </c>
      <c r="T36" s="92" t="e">
        <f t="shared" si="7"/>
        <v>#REF!</v>
      </c>
      <c r="U36" s="92" t="e">
        <f t="shared" si="8"/>
        <v>#REF!</v>
      </c>
      <c r="V36" s="49" t="e">
        <f t="shared" si="9"/>
        <v>#REF!</v>
      </c>
    </row>
    <row r="37" spans="2:22" ht="15">
      <c r="B37" s="28" t="s">
        <v>6</v>
      </c>
      <c r="C37" s="16">
        <v>7300</v>
      </c>
      <c r="D37" s="90" t="e">
        <f>#REF!</f>
        <v>#REF!</v>
      </c>
      <c r="E37" s="90" t="e">
        <f>#REF!</f>
        <v>#REF!</v>
      </c>
      <c r="F37" s="90" t="e">
        <f>#REF!</f>
        <v>#REF!</v>
      </c>
      <c r="G37" s="49" t="e">
        <f t="shared" si="4"/>
        <v>#REF!</v>
      </c>
      <c r="H37" s="38"/>
      <c r="I37" s="48"/>
      <c r="J37" s="48"/>
      <c r="K37" s="56"/>
      <c r="L37" s="49" t="str">
        <f t="shared" si="5"/>
        <v/>
      </c>
      <c r="M37" s="56"/>
      <c r="N37" s="56"/>
      <c r="O37" s="56"/>
      <c r="P37" s="56"/>
      <c r="Q37" s="49" t="str">
        <f t="shared" si="6"/>
        <v/>
      </c>
      <c r="R37" s="55"/>
      <c r="S37" s="92" t="e">
        <f t="shared" si="10"/>
        <v>#REF!</v>
      </c>
      <c r="T37" s="92" t="e">
        <f t="shared" si="7"/>
        <v>#REF!</v>
      </c>
      <c r="U37" s="92" t="e">
        <f t="shared" si="8"/>
        <v>#REF!</v>
      </c>
      <c r="V37" s="49" t="e">
        <f t="shared" si="9"/>
        <v>#REF!</v>
      </c>
    </row>
    <row r="38" spans="2:22" ht="15">
      <c r="B38" s="28" t="s">
        <v>7</v>
      </c>
      <c r="C38" s="16">
        <v>7400</v>
      </c>
      <c r="D38" s="90" t="e">
        <f>#REF!</f>
        <v>#REF!</v>
      </c>
      <c r="E38" s="90" t="e">
        <f>#REF!</f>
        <v>#REF!</v>
      </c>
      <c r="F38" s="90" t="e">
        <f>#REF!</f>
        <v>#REF!</v>
      </c>
      <c r="G38" s="49" t="e">
        <f t="shared" si="4"/>
        <v>#REF!</v>
      </c>
      <c r="H38" s="38"/>
      <c r="I38" s="48"/>
      <c r="J38" s="48"/>
      <c r="K38" s="56"/>
      <c r="L38" s="49" t="str">
        <f t="shared" si="5"/>
        <v/>
      </c>
      <c r="M38" s="56"/>
      <c r="N38" s="56"/>
      <c r="O38" s="56"/>
      <c r="P38" s="56"/>
      <c r="Q38" s="49" t="str">
        <f t="shared" si="6"/>
        <v/>
      </c>
      <c r="R38" s="55"/>
      <c r="S38" s="92" t="e">
        <f t="shared" si="10"/>
        <v>#REF!</v>
      </c>
      <c r="T38" s="92" t="e">
        <f t="shared" si="7"/>
        <v>#REF!</v>
      </c>
      <c r="U38" s="92" t="e">
        <f t="shared" si="8"/>
        <v>#REF!</v>
      </c>
      <c r="V38" s="49" t="e">
        <f t="shared" si="9"/>
        <v>#REF!</v>
      </c>
    </row>
    <row r="39" spans="2:22" ht="15">
      <c r="B39" s="28" t="s">
        <v>8</v>
      </c>
      <c r="C39" s="16">
        <v>7500</v>
      </c>
      <c r="D39" s="90" t="e">
        <f>#REF!</f>
        <v>#REF!</v>
      </c>
      <c r="E39" s="90" t="e">
        <f>#REF!</f>
        <v>#REF!</v>
      </c>
      <c r="F39" s="90" t="e">
        <f>#REF!</f>
        <v>#REF!</v>
      </c>
      <c r="G39" s="49" t="e">
        <f t="shared" si="4"/>
        <v>#REF!</v>
      </c>
      <c r="H39" s="38"/>
      <c r="I39" s="48"/>
      <c r="J39" s="48"/>
      <c r="K39" s="56"/>
      <c r="L39" s="49" t="str">
        <f t="shared" si="5"/>
        <v/>
      </c>
      <c r="M39" s="56"/>
      <c r="N39" s="56"/>
      <c r="O39" s="56"/>
      <c r="P39" s="56"/>
      <c r="Q39" s="49" t="str">
        <f t="shared" si="6"/>
        <v/>
      </c>
      <c r="R39" s="55"/>
      <c r="S39" s="92" t="e">
        <f t="shared" si="10"/>
        <v>#REF!</v>
      </c>
      <c r="T39" s="92" t="e">
        <f t="shared" si="7"/>
        <v>#REF!</v>
      </c>
      <c r="U39" s="92" t="e">
        <f t="shared" si="8"/>
        <v>#REF!</v>
      </c>
      <c r="V39" s="49" t="e">
        <f t="shared" si="9"/>
        <v>#REF!</v>
      </c>
    </row>
    <row r="40" spans="2:22" ht="15">
      <c r="B40" s="28" t="s">
        <v>9</v>
      </c>
      <c r="C40" s="16">
        <v>7600</v>
      </c>
      <c r="D40" s="90" t="e">
        <f>#REF!</f>
        <v>#REF!</v>
      </c>
      <c r="E40" s="90" t="e">
        <f>#REF!</f>
        <v>#REF!</v>
      </c>
      <c r="F40" s="90" t="e">
        <f>#REF!</f>
        <v>#REF!</v>
      </c>
      <c r="G40" s="49" t="e">
        <f t="shared" si="4"/>
        <v>#REF!</v>
      </c>
      <c r="H40" s="38"/>
      <c r="I40" s="48"/>
      <c r="J40" s="48"/>
      <c r="K40" s="56"/>
      <c r="L40" s="49" t="str">
        <f t="shared" si="5"/>
        <v/>
      </c>
      <c r="M40" s="56"/>
      <c r="N40" s="56"/>
      <c r="O40" s="56"/>
      <c r="P40" s="56"/>
      <c r="Q40" s="49" t="str">
        <f t="shared" si="6"/>
        <v/>
      </c>
      <c r="R40" s="55"/>
      <c r="S40" s="92" t="e">
        <f t="shared" si="10"/>
        <v>#REF!</v>
      </c>
      <c r="T40" s="92" t="e">
        <f t="shared" si="7"/>
        <v>#REF!</v>
      </c>
      <c r="U40" s="92" t="e">
        <f t="shared" si="8"/>
        <v>#REF!</v>
      </c>
      <c r="V40" s="49" t="e">
        <f t="shared" si="9"/>
        <v>#REF!</v>
      </c>
    </row>
    <row r="41" spans="2:22" ht="15">
      <c r="B41" s="28" t="s">
        <v>10</v>
      </c>
      <c r="C41" s="16">
        <v>7700</v>
      </c>
      <c r="D41" s="90" t="e">
        <f>#REF!</f>
        <v>#REF!</v>
      </c>
      <c r="E41" s="90" t="e">
        <f>#REF!</f>
        <v>#REF!</v>
      </c>
      <c r="F41" s="90" t="e">
        <f>#REF!</f>
        <v>#REF!</v>
      </c>
      <c r="G41" s="49" t="e">
        <f t="shared" si="4"/>
        <v>#REF!</v>
      </c>
      <c r="H41" s="38"/>
      <c r="I41" s="48"/>
      <c r="J41" s="48"/>
      <c r="K41" s="56"/>
      <c r="L41" s="49" t="str">
        <f t="shared" si="5"/>
        <v/>
      </c>
      <c r="M41" s="56"/>
      <c r="N41" s="56"/>
      <c r="O41" s="56"/>
      <c r="P41" s="56"/>
      <c r="Q41" s="49" t="str">
        <f t="shared" si="6"/>
        <v/>
      </c>
      <c r="R41" s="55"/>
      <c r="S41" s="92" t="e">
        <f t="shared" si="10"/>
        <v>#REF!</v>
      </c>
      <c r="T41" s="92" t="e">
        <f t="shared" si="7"/>
        <v>#REF!</v>
      </c>
      <c r="U41" s="92" t="e">
        <f t="shared" si="8"/>
        <v>#REF!</v>
      </c>
      <c r="V41" s="49" t="e">
        <f t="shared" si="9"/>
        <v>#REF!</v>
      </c>
    </row>
    <row r="42" spans="2:22" ht="15">
      <c r="B42" s="28" t="s">
        <v>11</v>
      </c>
      <c r="C42" s="16">
        <v>7800</v>
      </c>
      <c r="D42" s="90" t="e">
        <f>#REF!</f>
        <v>#REF!</v>
      </c>
      <c r="E42" s="90" t="e">
        <f>#REF!</f>
        <v>#REF!</v>
      </c>
      <c r="F42" s="90" t="e">
        <f>#REF!</f>
        <v>#REF!</v>
      </c>
      <c r="G42" s="49" t="e">
        <f t="shared" si="4"/>
        <v>#REF!</v>
      </c>
      <c r="H42" s="38"/>
      <c r="I42" s="48"/>
      <c r="J42" s="48"/>
      <c r="K42" s="56"/>
      <c r="L42" s="49" t="str">
        <f t="shared" si="5"/>
        <v/>
      </c>
      <c r="M42" s="56"/>
      <c r="N42" s="56"/>
      <c r="O42" s="56"/>
      <c r="P42" s="56"/>
      <c r="Q42" s="49" t="str">
        <f t="shared" si="6"/>
        <v/>
      </c>
      <c r="R42" s="55"/>
      <c r="S42" s="92" t="e">
        <f t="shared" si="10"/>
        <v>#REF!</v>
      </c>
      <c r="T42" s="92" t="e">
        <f t="shared" si="7"/>
        <v>#REF!</v>
      </c>
      <c r="U42" s="92" t="e">
        <f t="shared" si="8"/>
        <v>#REF!</v>
      </c>
      <c r="V42" s="49" t="e">
        <f t="shared" si="9"/>
        <v>#REF!</v>
      </c>
    </row>
    <row r="43" spans="2:22" ht="15">
      <c r="B43" s="28" t="s">
        <v>12</v>
      </c>
      <c r="C43" s="16">
        <v>7900</v>
      </c>
      <c r="D43" s="90" t="e">
        <f>#REF!</f>
        <v>#REF!</v>
      </c>
      <c r="E43" s="90" t="e">
        <f>#REF!</f>
        <v>#REF!</v>
      </c>
      <c r="F43" s="90" t="e">
        <f>#REF!</f>
        <v>#REF!</v>
      </c>
      <c r="G43" s="49" t="e">
        <f t="shared" si="4"/>
        <v>#REF!</v>
      </c>
      <c r="H43" s="38"/>
      <c r="I43" s="48"/>
      <c r="J43" s="48"/>
      <c r="K43" s="56"/>
      <c r="L43" s="49" t="str">
        <f t="shared" si="5"/>
        <v/>
      </c>
      <c r="M43" s="56"/>
      <c r="N43" s="56"/>
      <c r="O43" s="56"/>
      <c r="P43" s="56"/>
      <c r="Q43" s="49" t="str">
        <f t="shared" si="6"/>
        <v/>
      </c>
      <c r="R43" s="55"/>
      <c r="S43" s="92" t="e">
        <f t="shared" si="10"/>
        <v>#REF!</v>
      </c>
      <c r="T43" s="92" t="e">
        <f t="shared" si="7"/>
        <v>#REF!</v>
      </c>
      <c r="U43" s="92" t="e">
        <f t="shared" si="8"/>
        <v>#REF!</v>
      </c>
      <c r="V43" s="49" t="e">
        <f t="shared" si="9"/>
        <v>#REF!</v>
      </c>
    </row>
    <row r="44" spans="2:22" ht="15">
      <c r="B44" s="28" t="s">
        <v>13</v>
      </c>
      <c r="C44" s="16">
        <v>8100</v>
      </c>
      <c r="D44" s="90" t="e">
        <f>#REF!</f>
        <v>#REF!</v>
      </c>
      <c r="E44" s="90" t="e">
        <f>#REF!</f>
        <v>#REF!</v>
      </c>
      <c r="F44" s="90" t="e">
        <f>#REF!</f>
        <v>#REF!</v>
      </c>
      <c r="G44" s="49" t="e">
        <f t="shared" si="4"/>
        <v>#REF!</v>
      </c>
      <c r="H44" s="38"/>
      <c r="I44" s="48"/>
      <c r="J44" s="48"/>
      <c r="K44" s="56"/>
      <c r="L44" s="49" t="str">
        <f t="shared" si="5"/>
        <v/>
      </c>
      <c r="M44" s="56"/>
      <c r="N44" s="56"/>
      <c r="O44" s="56"/>
      <c r="P44" s="56"/>
      <c r="Q44" s="49" t="str">
        <f t="shared" si="6"/>
        <v/>
      </c>
      <c r="R44" s="55"/>
      <c r="S44" s="92" t="e">
        <f t="shared" si="10"/>
        <v>#REF!</v>
      </c>
      <c r="T44" s="92" t="e">
        <f t="shared" si="7"/>
        <v>#REF!</v>
      </c>
      <c r="U44" s="92" t="e">
        <f t="shared" si="8"/>
        <v>#REF!</v>
      </c>
      <c r="V44" s="49" t="e">
        <f t="shared" si="9"/>
        <v>#REF!</v>
      </c>
    </row>
    <row r="45" spans="2:22" ht="15">
      <c r="B45" s="28" t="s">
        <v>14</v>
      </c>
      <c r="C45" s="16">
        <v>8200</v>
      </c>
      <c r="D45" s="90" t="e">
        <f>#REF!</f>
        <v>#REF!</v>
      </c>
      <c r="E45" s="90" t="e">
        <f>#REF!</f>
        <v>#REF!</v>
      </c>
      <c r="F45" s="90" t="e">
        <f>#REF!</f>
        <v>#REF!</v>
      </c>
      <c r="G45" s="49" t="e">
        <f t="shared" si="4"/>
        <v>#REF!</v>
      </c>
      <c r="H45" s="38"/>
      <c r="I45" s="48"/>
      <c r="J45" s="48"/>
      <c r="K45" s="56"/>
      <c r="L45" s="49" t="str">
        <f t="shared" si="5"/>
        <v/>
      </c>
      <c r="M45" s="56"/>
      <c r="N45" s="56"/>
      <c r="O45" s="56"/>
      <c r="P45" s="56"/>
      <c r="Q45" s="49" t="str">
        <f t="shared" si="6"/>
        <v/>
      </c>
      <c r="R45" s="55"/>
      <c r="S45" s="92" t="e">
        <f t="shared" si="10"/>
        <v>#REF!</v>
      </c>
      <c r="T45" s="92" t="e">
        <f t="shared" si="7"/>
        <v>#REF!</v>
      </c>
      <c r="U45" s="92" t="e">
        <f t="shared" si="8"/>
        <v>#REF!</v>
      </c>
      <c r="V45" s="49" t="e">
        <f t="shared" si="9"/>
        <v>#REF!</v>
      </c>
    </row>
    <row r="46" spans="2:22" ht="15">
      <c r="B46" s="28" t="s">
        <v>15</v>
      </c>
      <c r="C46" s="16">
        <v>9100</v>
      </c>
      <c r="D46" s="90" t="e">
        <f>#REF!</f>
        <v>#REF!</v>
      </c>
      <c r="E46" s="90" t="e">
        <f>#REF!</f>
        <v>#REF!</v>
      </c>
      <c r="F46" s="90" t="e">
        <f>#REF!</f>
        <v>#REF!</v>
      </c>
      <c r="G46" s="49" t="e">
        <f t="shared" si="4"/>
        <v>#REF!</v>
      </c>
      <c r="H46" s="38"/>
      <c r="I46" s="48"/>
      <c r="J46" s="48"/>
      <c r="K46" s="56"/>
      <c r="L46" s="49" t="str">
        <f t="shared" si="5"/>
        <v/>
      </c>
      <c r="M46" s="56"/>
      <c r="N46" s="56"/>
      <c r="O46" s="56"/>
      <c r="P46" s="56"/>
      <c r="Q46" s="49" t="str">
        <f t="shared" si="6"/>
        <v/>
      </c>
      <c r="R46" s="55"/>
      <c r="S46" s="92" t="e">
        <f t="shared" si="10"/>
        <v>#REF!</v>
      </c>
      <c r="T46" s="92" t="e">
        <f t="shared" si="7"/>
        <v>#REF!</v>
      </c>
      <c r="U46" s="92" t="e">
        <f t="shared" si="8"/>
        <v>#REF!</v>
      </c>
      <c r="V46" s="49" t="e">
        <f t="shared" si="9"/>
        <v>#REF!</v>
      </c>
    </row>
    <row r="47" spans="2:22" ht="15">
      <c r="B47" s="28" t="s">
        <v>0</v>
      </c>
      <c r="C47" s="16">
        <v>9200</v>
      </c>
      <c r="D47" s="90" t="e">
        <f>#REF!</f>
        <v>#REF!</v>
      </c>
      <c r="E47" s="90" t="e">
        <f>#REF!</f>
        <v>#REF!</v>
      </c>
      <c r="F47" s="90" t="e">
        <f>#REF!</f>
        <v>#REF!</v>
      </c>
      <c r="G47" s="49" t="e">
        <f t="shared" si="4"/>
        <v>#REF!</v>
      </c>
      <c r="H47" s="38"/>
      <c r="I47" s="48"/>
      <c r="J47" s="48"/>
      <c r="K47" s="56"/>
      <c r="L47" s="49" t="str">
        <f t="shared" si="5"/>
        <v/>
      </c>
      <c r="M47" s="56"/>
      <c r="N47" s="56"/>
      <c r="O47" s="56"/>
      <c r="P47" s="56"/>
      <c r="Q47" s="49" t="str">
        <f t="shared" si="6"/>
        <v/>
      </c>
      <c r="R47" s="55"/>
      <c r="S47" s="92" t="e">
        <f t="shared" si="10"/>
        <v>#REF!</v>
      </c>
      <c r="T47" s="92" t="e">
        <f t="shared" si="7"/>
        <v>#REF!</v>
      </c>
      <c r="U47" s="92" t="e">
        <f t="shared" si="8"/>
        <v>#REF!</v>
      </c>
      <c r="V47" s="49" t="e">
        <f t="shared" si="9"/>
        <v>#REF!</v>
      </c>
    </row>
    <row r="48" spans="1:22" ht="15">
      <c r="A48" s="26" t="s">
        <v>62</v>
      </c>
      <c r="B48" s="28"/>
      <c r="C48" s="16"/>
      <c r="D48" s="91" t="e">
        <f>SUM(D34:D47)</f>
        <v>#REF!</v>
      </c>
      <c r="E48" s="91" t="e">
        <f>SUM(E34:E47)</f>
        <v>#REF!</v>
      </c>
      <c r="F48" s="91" t="e">
        <f>SUM(F34:F47)</f>
        <v>#REF!</v>
      </c>
      <c r="G48" s="51" t="e">
        <f>IF(F48=0,"",E48/F48)</f>
        <v>#REF!</v>
      </c>
      <c r="H48" s="38"/>
      <c r="I48" s="50">
        <f>SUM(I34:I47)</f>
        <v>0</v>
      </c>
      <c r="J48" s="50">
        <f>SUM(J34:J47)</f>
        <v>0</v>
      </c>
      <c r="K48" s="50">
        <f>SUM(K34:K47)</f>
        <v>0</v>
      </c>
      <c r="L48" s="51" t="str">
        <f>IF(K48=0,"",J48/K48)</f>
        <v/>
      </c>
      <c r="M48" s="56"/>
      <c r="N48" s="50">
        <f>SUM(N34:N47)</f>
        <v>0</v>
      </c>
      <c r="O48" s="50">
        <f>SUM(O34:O47)</f>
        <v>0</v>
      </c>
      <c r="P48" s="50">
        <f>SUM(P34:P47)</f>
        <v>0</v>
      </c>
      <c r="Q48" s="51" t="str">
        <f>IF(P48=0,"",O48/P48)</f>
        <v/>
      </c>
      <c r="R48" s="55"/>
      <c r="S48" s="91" t="e">
        <f>SUM(S34:S47)</f>
        <v>#REF!</v>
      </c>
      <c r="T48" s="91" t="e">
        <f>SUM(T34:T47)</f>
        <v>#REF!</v>
      </c>
      <c r="U48" s="91" t="e">
        <f>SUM(U34:U47)</f>
        <v>#REF!</v>
      </c>
      <c r="V48" s="51" t="e">
        <f>IF(U48=0,"",T48/U48)</f>
        <v>#REF!</v>
      </c>
    </row>
    <row r="49" spans="2:22" ht="15.75">
      <c r="B49" s="27"/>
      <c r="C49" s="16"/>
      <c r="D49" s="48"/>
      <c r="E49" s="48"/>
      <c r="F49" s="90"/>
      <c r="G49" s="49"/>
      <c r="H49" s="38"/>
      <c r="I49" s="48"/>
      <c r="J49" s="48"/>
      <c r="K49" s="56"/>
      <c r="L49" s="49"/>
      <c r="M49" s="56"/>
      <c r="N49" s="56"/>
      <c r="O49" s="56"/>
      <c r="P49" s="56"/>
      <c r="Q49" s="49"/>
      <c r="R49" s="55"/>
      <c r="S49" s="56"/>
      <c r="T49" s="56"/>
      <c r="U49" s="87"/>
      <c r="V49" s="49"/>
    </row>
    <row r="50" spans="1:22" ht="15.75">
      <c r="A50" s="5" t="s">
        <v>60</v>
      </c>
      <c r="B50" s="27"/>
      <c r="C50" s="4"/>
      <c r="D50" s="52"/>
      <c r="E50" s="52"/>
      <c r="F50" s="93"/>
      <c r="G50" s="53" t="str">
        <f>IF(F50=0,"",E50/F50)</f>
        <v/>
      </c>
      <c r="H50" s="38"/>
      <c r="I50" s="52"/>
      <c r="J50" s="52"/>
      <c r="K50" s="58"/>
      <c r="L50" s="53" t="str">
        <f>IF(K50=0,"",J50/K50)</f>
        <v/>
      </c>
      <c r="M50" s="56"/>
      <c r="N50" s="58"/>
      <c r="O50" s="58"/>
      <c r="P50" s="58"/>
      <c r="Q50" s="53" t="str">
        <f>IF(P50=0,"",O50/P50)</f>
        <v/>
      </c>
      <c r="R50" s="55"/>
      <c r="S50" s="60">
        <f>D50+I50+N50</f>
        <v>0</v>
      </c>
      <c r="T50" s="60">
        <f>E50+J50+O50</f>
        <v>0</v>
      </c>
      <c r="U50" s="94">
        <f>F50+K50+P50</f>
        <v>0</v>
      </c>
      <c r="V50" s="53" t="str">
        <f>IF(U50=0,"",T50/U50)</f>
        <v/>
      </c>
    </row>
    <row r="51" spans="2:22" ht="15.75">
      <c r="B51" s="27"/>
      <c r="C51" s="4"/>
      <c r="D51" s="48"/>
      <c r="E51" s="48"/>
      <c r="F51" s="90"/>
      <c r="G51" s="49"/>
      <c r="H51" s="38"/>
      <c r="I51" s="48"/>
      <c r="J51" s="48"/>
      <c r="K51" s="56"/>
      <c r="L51" s="49"/>
      <c r="M51" s="56"/>
      <c r="N51" s="56"/>
      <c r="O51" s="56"/>
      <c r="P51" s="56"/>
      <c r="Q51" s="49"/>
      <c r="R51" s="55"/>
      <c r="S51" s="56"/>
      <c r="T51" s="56"/>
      <c r="U51" s="87"/>
      <c r="V51" s="49"/>
    </row>
    <row r="52" spans="1:22" ht="15.75">
      <c r="A52" s="18" t="s">
        <v>61</v>
      </c>
      <c r="B52" s="27"/>
      <c r="C52" s="4"/>
      <c r="D52" s="93" t="e">
        <f>SUM(D50:D50)+D48</f>
        <v>#REF!</v>
      </c>
      <c r="E52" s="93" t="e">
        <f>SUM(E50:E50)+E48</f>
        <v>#REF!</v>
      </c>
      <c r="F52" s="93" t="e">
        <f>SUM(F50:F50)+F48</f>
        <v>#REF!</v>
      </c>
      <c r="G52" s="53" t="e">
        <f>IF(F52=0,"",E52/F52)</f>
        <v>#REF!</v>
      </c>
      <c r="H52" s="38"/>
      <c r="I52" s="52">
        <f>SUM(I50:I50)+I48</f>
        <v>0</v>
      </c>
      <c r="J52" s="52">
        <f>SUM(J50:J50)+J48</f>
        <v>0</v>
      </c>
      <c r="K52" s="52">
        <f>SUM(K50:K50)+K48</f>
        <v>0</v>
      </c>
      <c r="L52" s="53" t="str">
        <f>IF(K52=0,"",J52/K52)</f>
        <v/>
      </c>
      <c r="M52" s="56"/>
      <c r="N52" s="52">
        <f>SUM(N50:N50)+N48</f>
        <v>0</v>
      </c>
      <c r="O52" s="52">
        <f>SUM(O50:O50)+O48</f>
        <v>0</v>
      </c>
      <c r="P52" s="52">
        <f>SUM(P50:P50)+P48</f>
        <v>0</v>
      </c>
      <c r="Q52" s="53" t="str">
        <f>IF(P52=0,"",O52/P52)</f>
        <v/>
      </c>
      <c r="R52" s="55"/>
      <c r="S52" s="93" t="e">
        <f>SUM(S50:S50)+S48</f>
        <v>#REF!</v>
      </c>
      <c r="T52" s="93" t="e">
        <f>SUM(T50:T50)+T48</f>
        <v>#REF!</v>
      </c>
      <c r="U52" s="93" t="e">
        <f>SUM(U50:U50)+U48</f>
        <v>#REF!</v>
      </c>
      <c r="V52" s="53" t="e">
        <f>IF(U52=0,"",T52/U52)</f>
        <v>#REF!</v>
      </c>
    </row>
    <row r="53" spans="2:22" ht="15.75">
      <c r="B53" s="27"/>
      <c r="C53" s="4"/>
      <c r="D53" s="48"/>
      <c r="E53" s="48"/>
      <c r="F53" s="90"/>
      <c r="G53" s="49"/>
      <c r="H53" s="38"/>
      <c r="I53" s="48"/>
      <c r="J53" s="48"/>
      <c r="K53" s="56"/>
      <c r="L53" s="49"/>
      <c r="M53" s="56"/>
      <c r="N53" s="56"/>
      <c r="O53" s="56"/>
      <c r="P53" s="56"/>
      <c r="Q53" s="49"/>
      <c r="R53" s="55"/>
      <c r="S53" s="56"/>
      <c r="T53" s="56"/>
      <c r="U53" s="87"/>
      <c r="V53" s="49"/>
    </row>
    <row r="54" spans="1:22" ht="15.75">
      <c r="A54" s="18" t="s">
        <v>63</v>
      </c>
      <c r="B54" s="27"/>
      <c r="C54" s="4"/>
      <c r="D54" s="90" t="e">
        <f>D30-D52</f>
        <v>#REF!</v>
      </c>
      <c r="E54" s="90" t="e">
        <f>E30-E52</f>
        <v>#REF!</v>
      </c>
      <c r="F54" s="90" t="e">
        <f>F30-F52</f>
        <v>#REF!</v>
      </c>
      <c r="G54" s="49" t="e">
        <f>IF(F54=0,"",E54/F54)</f>
        <v>#REF!</v>
      </c>
      <c r="H54" s="38"/>
      <c r="I54" s="48">
        <f>I30-I52</f>
        <v>0</v>
      </c>
      <c r="J54" s="48">
        <f>J30-J52</f>
        <v>0</v>
      </c>
      <c r="K54" s="48">
        <f>K30-K52</f>
        <v>0</v>
      </c>
      <c r="L54" s="49" t="str">
        <f>IF(K54=0,"",J54/K54)</f>
        <v/>
      </c>
      <c r="M54" s="56"/>
      <c r="N54" s="48">
        <f>N30-N52</f>
        <v>0</v>
      </c>
      <c r="O54" s="48">
        <f>O30-O52</f>
        <v>0</v>
      </c>
      <c r="P54" s="48">
        <f>P30-P52</f>
        <v>0</v>
      </c>
      <c r="Q54" s="49" t="str">
        <f>IF(P54=0,"",O54/P54)</f>
        <v/>
      </c>
      <c r="R54" s="55"/>
      <c r="S54" s="92" t="e">
        <f>D54+I54+N54</f>
        <v>#REF!</v>
      </c>
      <c r="T54" s="92" t="e">
        <f>E54+J54+O54</f>
        <v>#REF!</v>
      </c>
      <c r="U54" s="92" t="e">
        <f>F54+K54+P54</f>
        <v>#REF!</v>
      </c>
      <c r="V54" s="49" t="e">
        <f>IF(U54=0,"",T54/U54)</f>
        <v>#REF!</v>
      </c>
    </row>
    <row r="55" spans="2:22" ht="15.75">
      <c r="B55" s="27"/>
      <c r="C55" s="4"/>
      <c r="D55" s="48"/>
      <c r="E55" s="48"/>
      <c r="F55" s="90"/>
      <c r="G55" s="49"/>
      <c r="H55" s="38"/>
      <c r="I55" s="48"/>
      <c r="J55" s="48"/>
      <c r="K55" s="56"/>
      <c r="L55" s="49"/>
      <c r="M55" s="56"/>
      <c r="N55" s="56"/>
      <c r="O55" s="56"/>
      <c r="P55" s="56"/>
      <c r="Q55" s="49"/>
      <c r="R55" s="55"/>
      <c r="S55" s="56"/>
      <c r="T55" s="56"/>
      <c r="U55" s="87"/>
      <c r="V55" s="49"/>
    </row>
    <row r="56" spans="1:22" ht="15.75">
      <c r="A56" s="18" t="s">
        <v>64</v>
      </c>
      <c r="B56" s="27"/>
      <c r="C56" s="4"/>
      <c r="D56" s="93" t="e">
        <f>#REF!</f>
        <v>#REF!</v>
      </c>
      <c r="E56" s="93" t="e">
        <f>#REF!</f>
        <v>#REF!</v>
      </c>
      <c r="F56" s="93" t="e">
        <f>E56</f>
        <v>#REF!</v>
      </c>
      <c r="G56" s="53" t="e">
        <f>IF(F56=0,"",E56/F56)</f>
        <v>#REF!</v>
      </c>
      <c r="H56" s="38"/>
      <c r="I56" s="52"/>
      <c r="J56" s="52"/>
      <c r="K56" s="58"/>
      <c r="L56" s="53" t="str">
        <f>IF(K56=0,"",J56/K56)</f>
        <v/>
      </c>
      <c r="M56" s="56"/>
      <c r="N56" s="58"/>
      <c r="O56" s="58"/>
      <c r="P56" s="58"/>
      <c r="Q56" s="53" t="str">
        <f>IF(P56=0,"",O56/P56)</f>
        <v/>
      </c>
      <c r="R56" s="55"/>
      <c r="S56" s="94" t="e">
        <f>D56+I56+N56</f>
        <v>#REF!</v>
      </c>
      <c r="T56" s="94" t="e">
        <f>E56+J56+O56</f>
        <v>#REF!</v>
      </c>
      <c r="U56" s="94" t="e">
        <f>F56+K56+P56</f>
        <v>#REF!</v>
      </c>
      <c r="V56" s="53" t="e">
        <f>IF(U56=0,"",T56/U56)</f>
        <v>#REF!</v>
      </c>
    </row>
    <row r="57" spans="1:22" ht="15.75">
      <c r="A57" s="18"/>
      <c r="B57" s="27"/>
      <c r="C57" s="4"/>
      <c r="D57" s="48"/>
      <c r="E57" s="48"/>
      <c r="F57" s="48"/>
      <c r="G57" s="49"/>
      <c r="H57" s="38"/>
      <c r="I57" s="48"/>
      <c r="J57" s="48"/>
      <c r="K57" s="56"/>
      <c r="L57" s="49"/>
      <c r="M57" s="56"/>
      <c r="N57" s="56"/>
      <c r="O57" s="56"/>
      <c r="P57" s="56"/>
      <c r="Q57" s="49"/>
      <c r="R57" s="55"/>
      <c r="S57" s="59"/>
      <c r="T57" s="59"/>
      <c r="U57" s="108"/>
      <c r="V57" s="49"/>
    </row>
    <row r="58" spans="1:22" ht="16.5" thickBot="1">
      <c r="A58" s="18" t="s">
        <v>65</v>
      </c>
      <c r="B58" s="27"/>
      <c r="C58" s="4"/>
      <c r="D58" s="88" t="e">
        <f>D56+D54</f>
        <v>#REF!</v>
      </c>
      <c r="E58" s="88" t="e">
        <f aca="true" t="shared" si="11" ref="E58:P58">E56+E54</f>
        <v>#REF!</v>
      </c>
      <c r="F58" s="88" t="e">
        <f t="shared" si="11"/>
        <v>#REF!</v>
      </c>
      <c r="G58" s="47" t="e">
        <f>IF(F58=0,"%",E58/F58)</f>
        <v>#REF!</v>
      </c>
      <c r="H58" s="39"/>
      <c r="I58" s="88">
        <f t="shared" si="11"/>
        <v>0</v>
      </c>
      <c r="J58" s="88">
        <f t="shared" si="11"/>
        <v>0</v>
      </c>
      <c r="K58" s="88">
        <f t="shared" si="11"/>
        <v>0</v>
      </c>
      <c r="L58" s="47" t="str">
        <f>IF(K58=0,"%",J58/K58)</f>
        <v>%</v>
      </c>
      <c r="M58" s="54"/>
      <c r="N58" s="88">
        <f t="shared" si="11"/>
        <v>0</v>
      </c>
      <c r="O58" s="88">
        <f t="shared" si="11"/>
        <v>0</v>
      </c>
      <c r="P58" s="88">
        <f t="shared" si="11"/>
        <v>0</v>
      </c>
      <c r="Q58" s="47" t="str">
        <f>IF(P58=0,"%",O58/P58)</f>
        <v>%</v>
      </c>
      <c r="R58" s="55"/>
      <c r="S58" s="88" t="e">
        <f>S56+S54</f>
        <v>#REF!</v>
      </c>
      <c r="T58" s="88" t="e">
        <f>T56+T54</f>
        <v>#REF!</v>
      </c>
      <c r="U58" s="109" t="e">
        <f>U56+U54</f>
        <v>#REF!</v>
      </c>
      <c r="V58" s="47" t="e">
        <f>IF(U58=0,"%",T58/U58)</f>
        <v>#REF!</v>
      </c>
    </row>
    <row r="59" spans="2:22" ht="16.5" thickTop="1">
      <c r="B59" s="27"/>
      <c r="C59" s="4"/>
      <c r="D59" s="16"/>
      <c r="E59" s="16"/>
      <c r="F59" s="16"/>
      <c r="G59" s="46"/>
      <c r="I59" s="61"/>
      <c r="J59" s="61"/>
      <c r="K59" s="55"/>
      <c r="L59" s="46"/>
      <c r="M59" s="55"/>
      <c r="N59" s="55"/>
      <c r="O59" s="55"/>
      <c r="P59" s="55"/>
      <c r="Q59" s="46"/>
      <c r="R59" s="55"/>
      <c r="S59" s="55"/>
      <c r="T59" s="55"/>
      <c r="U59" s="55"/>
      <c r="V59" s="46"/>
    </row>
    <row r="60" spans="2:22" ht="15.75">
      <c r="B60" s="27"/>
      <c r="C60" s="4"/>
      <c r="D60" s="16"/>
      <c r="E60" s="16"/>
      <c r="F60" s="16"/>
      <c r="G60" s="46"/>
      <c r="I60" s="61"/>
      <c r="J60" s="61"/>
      <c r="K60" s="55"/>
      <c r="L60" s="46"/>
      <c r="M60" s="55"/>
      <c r="N60" s="55"/>
      <c r="O60" s="55"/>
      <c r="P60" s="55"/>
      <c r="Q60" s="46"/>
      <c r="R60" s="55"/>
      <c r="S60" s="55"/>
      <c r="T60" s="55"/>
      <c r="U60" s="55"/>
      <c r="V60" s="46"/>
    </row>
    <row r="61" spans="2:22" ht="15.75">
      <c r="B61" s="27"/>
      <c r="C61" s="4"/>
      <c r="D61" s="16"/>
      <c r="E61" s="16"/>
      <c r="F61" s="16"/>
      <c r="G61" s="46"/>
      <c r="I61" s="61"/>
      <c r="J61" s="61"/>
      <c r="K61" s="55"/>
      <c r="L61" s="46"/>
      <c r="M61" s="55"/>
      <c r="N61" s="55"/>
      <c r="O61" s="55"/>
      <c r="P61" s="55"/>
      <c r="Q61" s="46"/>
      <c r="R61" s="55"/>
      <c r="S61" s="55"/>
      <c r="T61" s="55"/>
      <c r="U61" s="55"/>
      <c r="V61" s="46"/>
    </row>
    <row r="62" spans="2:22" ht="15.75">
      <c r="B62" s="27"/>
      <c r="C62" s="4"/>
      <c r="D62" s="16"/>
      <c r="E62" s="16"/>
      <c r="F62" s="16"/>
      <c r="G62" s="46"/>
      <c r="I62" s="61"/>
      <c r="J62" s="61"/>
      <c r="K62" s="55"/>
      <c r="L62" s="46"/>
      <c r="M62" s="55"/>
      <c r="N62" s="55"/>
      <c r="O62" s="55"/>
      <c r="P62" s="55"/>
      <c r="Q62" s="46"/>
      <c r="R62" s="55"/>
      <c r="S62" s="55"/>
      <c r="T62" s="55"/>
      <c r="U62" s="55"/>
      <c r="V62" s="46"/>
    </row>
    <row r="63" spans="2:22" ht="15.75">
      <c r="B63" s="27"/>
      <c r="C63" s="4"/>
      <c r="D63" s="16"/>
      <c r="E63" s="16"/>
      <c r="F63" s="16"/>
      <c r="G63" s="46"/>
      <c r="I63" s="61"/>
      <c r="J63" s="61"/>
      <c r="K63" s="55"/>
      <c r="L63" s="46"/>
      <c r="M63" s="55"/>
      <c r="N63" s="55"/>
      <c r="O63" s="55"/>
      <c r="P63" s="55"/>
      <c r="Q63" s="46"/>
      <c r="R63" s="55"/>
      <c r="S63" s="55"/>
      <c r="T63" s="55"/>
      <c r="U63" s="55"/>
      <c r="V63" s="46"/>
    </row>
    <row r="64" spans="2:22" ht="15.75">
      <c r="B64" s="27"/>
      <c r="C64" s="4"/>
      <c r="D64" s="16"/>
      <c r="E64" s="16"/>
      <c r="F64" s="16"/>
      <c r="G64" s="46"/>
      <c r="I64" s="61"/>
      <c r="J64" s="61"/>
      <c r="K64" s="55"/>
      <c r="L64" s="46"/>
      <c r="M64" s="55"/>
      <c r="N64" s="55"/>
      <c r="O64" s="55"/>
      <c r="P64" s="55"/>
      <c r="Q64" s="46"/>
      <c r="R64" s="55"/>
      <c r="S64" s="55"/>
      <c r="T64" s="55"/>
      <c r="U64" s="55"/>
      <c r="V64" s="46"/>
    </row>
    <row r="65" spans="2:22" ht="15.75">
      <c r="B65" s="27"/>
      <c r="C65" s="4"/>
      <c r="D65" s="16"/>
      <c r="E65" s="16"/>
      <c r="F65" s="16"/>
      <c r="G65" s="46"/>
      <c r="I65" s="61"/>
      <c r="J65" s="61"/>
      <c r="K65" s="55"/>
      <c r="L65" s="46"/>
      <c r="M65" s="55"/>
      <c r="N65" s="55"/>
      <c r="O65" s="55"/>
      <c r="P65" s="55"/>
      <c r="Q65" s="46"/>
      <c r="R65" s="55"/>
      <c r="S65" s="55"/>
      <c r="T65" s="55"/>
      <c r="U65" s="55"/>
      <c r="V65" s="46"/>
    </row>
    <row r="66" spans="2:22" ht="15.75">
      <c r="B66" s="27"/>
      <c r="C66" s="4"/>
      <c r="D66" s="16"/>
      <c r="E66" s="16"/>
      <c r="F66" s="16"/>
      <c r="G66" s="46"/>
      <c r="I66" s="61"/>
      <c r="J66" s="61"/>
      <c r="K66" s="55"/>
      <c r="L66" s="46"/>
      <c r="M66" s="55"/>
      <c r="N66" s="55"/>
      <c r="O66" s="55"/>
      <c r="P66" s="55"/>
      <c r="Q66" s="46"/>
      <c r="R66" s="55"/>
      <c r="S66" s="55"/>
      <c r="T66" s="55"/>
      <c r="U66" s="55"/>
      <c r="V66" s="46"/>
    </row>
    <row r="67" spans="2:22" ht="15.75">
      <c r="B67" s="27"/>
      <c r="C67" s="4"/>
      <c r="D67" s="16"/>
      <c r="E67" s="16"/>
      <c r="F67" s="16"/>
      <c r="G67" s="46"/>
      <c r="I67" s="61"/>
      <c r="J67" s="61"/>
      <c r="K67" s="55"/>
      <c r="L67" s="46"/>
      <c r="M67" s="55"/>
      <c r="N67" s="55"/>
      <c r="O67" s="55"/>
      <c r="P67" s="55"/>
      <c r="Q67" s="46"/>
      <c r="R67" s="55"/>
      <c r="S67" s="55"/>
      <c r="T67" s="55"/>
      <c r="U67" s="55"/>
      <c r="V67" s="46"/>
    </row>
    <row r="68" spans="2:22" ht="15.75">
      <c r="B68" s="27"/>
      <c r="C68" s="4"/>
      <c r="D68" s="16"/>
      <c r="E68" s="16"/>
      <c r="F68" s="16"/>
      <c r="G68" s="46"/>
      <c r="I68" s="61"/>
      <c r="J68" s="61"/>
      <c r="K68" s="55"/>
      <c r="L68" s="46"/>
      <c r="M68" s="55"/>
      <c r="N68" s="55"/>
      <c r="O68" s="55"/>
      <c r="P68" s="55"/>
      <c r="Q68" s="46"/>
      <c r="R68" s="55"/>
      <c r="S68" s="55"/>
      <c r="T68" s="55"/>
      <c r="U68" s="55"/>
      <c r="V68" s="46"/>
    </row>
    <row r="69" spans="2:22" ht="15.75">
      <c r="B69" s="27"/>
      <c r="C69" s="4"/>
      <c r="D69" s="16"/>
      <c r="E69" s="16"/>
      <c r="F69" s="16"/>
      <c r="G69" s="46"/>
      <c r="I69" s="61"/>
      <c r="J69" s="61"/>
      <c r="K69" s="55"/>
      <c r="L69" s="46"/>
      <c r="M69" s="55"/>
      <c r="N69" s="55"/>
      <c r="O69" s="55"/>
      <c r="P69" s="55"/>
      <c r="Q69" s="46"/>
      <c r="R69" s="55"/>
      <c r="S69" s="55"/>
      <c r="T69" s="55"/>
      <c r="U69" s="55"/>
      <c r="V69" s="46"/>
    </row>
    <row r="70" spans="2:22" ht="15.75">
      <c r="B70" s="27"/>
      <c r="C70" s="4"/>
      <c r="D70" s="16"/>
      <c r="E70" s="16"/>
      <c r="F70" s="16"/>
      <c r="G70" s="46"/>
      <c r="I70" s="61"/>
      <c r="J70" s="61"/>
      <c r="K70" s="55"/>
      <c r="L70" s="46"/>
      <c r="M70" s="55"/>
      <c r="N70" s="55"/>
      <c r="O70" s="55"/>
      <c r="P70" s="55"/>
      <c r="Q70" s="46"/>
      <c r="R70" s="55"/>
      <c r="S70" s="55"/>
      <c r="T70" s="55"/>
      <c r="U70" s="55"/>
      <c r="V70" s="46"/>
    </row>
    <row r="71" spans="2:22" ht="15.75">
      <c r="B71" s="27"/>
      <c r="C71" s="4"/>
      <c r="D71" s="16"/>
      <c r="E71" s="16"/>
      <c r="F71" s="16"/>
      <c r="G71" s="46"/>
      <c r="I71" s="61"/>
      <c r="J71" s="61"/>
      <c r="K71" s="55"/>
      <c r="L71" s="46"/>
      <c r="M71" s="55"/>
      <c r="N71" s="55"/>
      <c r="O71" s="55"/>
      <c r="P71" s="55"/>
      <c r="Q71" s="46"/>
      <c r="R71" s="55"/>
      <c r="S71" s="55"/>
      <c r="T71" s="55"/>
      <c r="U71" s="55"/>
      <c r="V71" s="46"/>
    </row>
    <row r="72" spans="2:22" ht="15.75">
      <c r="B72" s="27"/>
      <c r="C72" s="4"/>
      <c r="D72" s="16"/>
      <c r="E72" s="16"/>
      <c r="F72" s="16"/>
      <c r="G72" s="46"/>
      <c r="I72" s="61"/>
      <c r="J72" s="61"/>
      <c r="K72" s="55"/>
      <c r="L72" s="46"/>
      <c r="M72" s="55"/>
      <c r="N72" s="55"/>
      <c r="O72" s="55"/>
      <c r="P72" s="55"/>
      <c r="Q72" s="46"/>
      <c r="R72" s="55"/>
      <c r="S72" s="55"/>
      <c r="T72" s="55"/>
      <c r="U72" s="55"/>
      <c r="V72" s="46"/>
    </row>
    <row r="73" spans="2:22" ht="15.75">
      <c r="B73" s="27"/>
      <c r="C73" s="4"/>
      <c r="D73" s="16"/>
      <c r="E73" s="16"/>
      <c r="F73" s="16"/>
      <c r="G73" s="46"/>
      <c r="I73" s="61"/>
      <c r="J73" s="61"/>
      <c r="K73" s="55"/>
      <c r="L73" s="46"/>
      <c r="M73" s="55"/>
      <c r="N73" s="55"/>
      <c r="O73" s="55"/>
      <c r="P73" s="55"/>
      <c r="Q73" s="46"/>
      <c r="R73" s="55"/>
      <c r="S73" s="55"/>
      <c r="T73" s="55"/>
      <c r="U73" s="55"/>
      <c r="V73" s="46"/>
    </row>
    <row r="74" spans="2:22" ht="15.75">
      <c r="B74" s="27"/>
      <c r="C74" s="4"/>
      <c r="D74" s="16"/>
      <c r="E74" s="16"/>
      <c r="F74" s="16"/>
      <c r="G74" s="46"/>
      <c r="I74" s="61"/>
      <c r="J74" s="61"/>
      <c r="K74" s="55"/>
      <c r="L74" s="46"/>
      <c r="M74" s="55"/>
      <c r="N74" s="55"/>
      <c r="O74" s="55"/>
      <c r="P74" s="55"/>
      <c r="Q74" s="46"/>
      <c r="R74" s="55"/>
      <c r="S74" s="55"/>
      <c r="T74" s="55"/>
      <c r="U74" s="55"/>
      <c r="V74" s="46"/>
    </row>
    <row r="75" spans="2:22" ht="15.75">
      <c r="B75" s="27"/>
      <c r="C75" s="4"/>
      <c r="D75" s="16"/>
      <c r="E75" s="16"/>
      <c r="F75" s="16"/>
      <c r="G75" s="46"/>
      <c r="I75" s="61"/>
      <c r="J75" s="61"/>
      <c r="K75" s="55"/>
      <c r="L75" s="46"/>
      <c r="M75" s="55"/>
      <c r="N75" s="55"/>
      <c r="O75" s="55"/>
      <c r="P75" s="55"/>
      <c r="Q75" s="46"/>
      <c r="R75" s="55"/>
      <c r="S75" s="55"/>
      <c r="T75" s="55"/>
      <c r="U75" s="55"/>
      <c r="V75" s="46"/>
    </row>
    <row r="76" spans="2:22" ht="15.75">
      <c r="B76" s="27"/>
      <c r="C76" s="4"/>
      <c r="D76" s="16"/>
      <c r="E76" s="16"/>
      <c r="F76" s="16"/>
      <c r="G76" s="46"/>
      <c r="I76" s="61"/>
      <c r="J76" s="61"/>
      <c r="K76" s="55"/>
      <c r="L76" s="46"/>
      <c r="M76" s="55"/>
      <c r="N76" s="55"/>
      <c r="O76" s="55"/>
      <c r="P76" s="55"/>
      <c r="Q76" s="46"/>
      <c r="R76" s="55"/>
      <c r="S76" s="55"/>
      <c r="T76" s="55"/>
      <c r="U76" s="55"/>
      <c r="V76" s="46"/>
    </row>
    <row r="77" spans="2:22" ht="15.75">
      <c r="B77" s="27"/>
      <c r="C77" s="4"/>
      <c r="D77" s="16"/>
      <c r="E77" s="16"/>
      <c r="F77" s="16"/>
      <c r="G77" s="46"/>
      <c r="I77" s="61"/>
      <c r="J77" s="61"/>
      <c r="K77" s="55"/>
      <c r="L77" s="46"/>
      <c r="M77" s="55"/>
      <c r="N77" s="55"/>
      <c r="O77" s="55"/>
      <c r="P77" s="55"/>
      <c r="Q77" s="46"/>
      <c r="R77" s="55"/>
      <c r="S77" s="55"/>
      <c r="T77" s="55"/>
      <c r="U77" s="55"/>
      <c r="V77" s="46"/>
    </row>
    <row r="78" spans="2:22" ht="15.75">
      <c r="B78" s="27"/>
      <c r="C78" s="4"/>
      <c r="D78" s="16"/>
      <c r="E78" s="16"/>
      <c r="F78" s="16"/>
      <c r="G78" s="46"/>
      <c r="I78" s="61"/>
      <c r="J78" s="61"/>
      <c r="K78" s="55"/>
      <c r="L78" s="46"/>
      <c r="M78" s="55"/>
      <c r="N78" s="55"/>
      <c r="O78" s="55"/>
      <c r="P78" s="55"/>
      <c r="Q78" s="46"/>
      <c r="R78" s="55"/>
      <c r="S78" s="55"/>
      <c r="T78" s="55"/>
      <c r="U78" s="55"/>
      <c r="V78" s="46"/>
    </row>
    <row r="79" spans="2:22" ht="15.75">
      <c r="B79" s="27"/>
      <c r="C79" s="4"/>
      <c r="D79" s="16"/>
      <c r="E79" s="16"/>
      <c r="F79" s="16"/>
      <c r="G79" s="46"/>
      <c r="I79" s="61"/>
      <c r="J79" s="61"/>
      <c r="K79" s="55"/>
      <c r="L79" s="46"/>
      <c r="M79" s="55"/>
      <c r="N79" s="55"/>
      <c r="O79" s="55"/>
      <c r="P79" s="55"/>
      <c r="Q79" s="46"/>
      <c r="R79" s="55"/>
      <c r="S79" s="55"/>
      <c r="T79" s="55"/>
      <c r="U79" s="55"/>
      <c r="V79" s="46"/>
    </row>
    <row r="80" spans="2:22" ht="15.75">
      <c r="B80" s="27"/>
      <c r="C80" s="4"/>
      <c r="D80" s="16"/>
      <c r="E80" s="16"/>
      <c r="F80" s="16"/>
      <c r="G80" s="46"/>
      <c r="I80" s="61"/>
      <c r="J80" s="61"/>
      <c r="K80" s="55"/>
      <c r="L80" s="46"/>
      <c r="M80" s="55"/>
      <c r="N80" s="55"/>
      <c r="O80" s="55"/>
      <c r="P80" s="55"/>
      <c r="Q80" s="46"/>
      <c r="R80" s="55"/>
      <c r="S80" s="55"/>
      <c r="T80" s="55"/>
      <c r="U80" s="55"/>
      <c r="V80" s="46"/>
    </row>
    <row r="81" spans="2:22" ht="15.75">
      <c r="B81" s="27"/>
      <c r="C81" s="4"/>
      <c r="D81" s="16"/>
      <c r="E81" s="16"/>
      <c r="F81" s="16"/>
      <c r="G81" s="46"/>
      <c r="I81" s="61"/>
      <c r="J81" s="61"/>
      <c r="K81" s="55"/>
      <c r="L81" s="46"/>
      <c r="M81" s="55"/>
      <c r="N81" s="55"/>
      <c r="O81" s="55"/>
      <c r="P81" s="55"/>
      <c r="Q81" s="46"/>
      <c r="R81" s="55"/>
      <c r="S81" s="55"/>
      <c r="T81" s="55"/>
      <c r="U81" s="55"/>
      <c r="V81" s="46"/>
    </row>
    <row r="82" spans="2:22" ht="15.75">
      <c r="B82" s="27"/>
      <c r="C82" s="4"/>
      <c r="D82" s="16"/>
      <c r="E82" s="16"/>
      <c r="F82" s="16"/>
      <c r="G82" s="46"/>
      <c r="I82" s="61"/>
      <c r="J82" s="61"/>
      <c r="K82" s="55"/>
      <c r="L82" s="46"/>
      <c r="M82" s="55"/>
      <c r="N82" s="55"/>
      <c r="O82" s="55"/>
      <c r="P82" s="55"/>
      <c r="Q82" s="46"/>
      <c r="R82" s="55"/>
      <c r="S82" s="55"/>
      <c r="T82" s="55"/>
      <c r="U82" s="55"/>
      <c r="V82" s="46"/>
    </row>
    <row r="83" spans="2:22" ht="15.75">
      <c r="B83" s="27"/>
      <c r="C83" s="4"/>
      <c r="D83" s="16"/>
      <c r="E83" s="16"/>
      <c r="F83" s="16"/>
      <c r="G83" s="46"/>
      <c r="I83" s="61"/>
      <c r="J83" s="61"/>
      <c r="K83" s="55"/>
      <c r="L83" s="46"/>
      <c r="M83" s="55"/>
      <c r="N83" s="55"/>
      <c r="O83" s="55"/>
      <c r="P83" s="55"/>
      <c r="Q83" s="46"/>
      <c r="R83" s="55"/>
      <c r="S83" s="55"/>
      <c r="T83" s="55"/>
      <c r="U83" s="55"/>
      <c r="V83" s="46"/>
    </row>
    <row r="84" spans="2:22" ht="15.75">
      <c r="B84" s="27"/>
      <c r="C84" s="4"/>
      <c r="D84" s="16"/>
      <c r="E84" s="16"/>
      <c r="F84" s="16"/>
      <c r="G84" s="46"/>
      <c r="I84" s="61"/>
      <c r="J84" s="61"/>
      <c r="K84" s="55"/>
      <c r="L84" s="46"/>
      <c r="M84" s="55"/>
      <c r="N84" s="55"/>
      <c r="O84" s="55"/>
      <c r="P84" s="55"/>
      <c r="Q84" s="46"/>
      <c r="R84" s="55"/>
      <c r="S84" s="55"/>
      <c r="T84" s="55"/>
      <c r="U84" s="55"/>
      <c r="V84" s="46"/>
    </row>
    <row r="85" spans="2:22" ht="15.75">
      <c r="B85" s="27"/>
      <c r="C85" s="4"/>
      <c r="D85" s="16"/>
      <c r="E85" s="16"/>
      <c r="F85" s="16"/>
      <c r="G85" s="46"/>
      <c r="I85" s="61"/>
      <c r="J85" s="61"/>
      <c r="K85" s="55"/>
      <c r="L85" s="46"/>
      <c r="M85" s="55"/>
      <c r="N85" s="55"/>
      <c r="O85" s="55"/>
      <c r="P85" s="55"/>
      <c r="Q85" s="46"/>
      <c r="R85" s="55"/>
      <c r="S85" s="55"/>
      <c r="T85" s="55"/>
      <c r="U85" s="55"/>
      <c r="V85" s="46"/>
    </row>
    <row r="86" spans="2:22" ht="15.75">
      <c r="B86" s="27"/>
      <c r="C86" s="4"/>
      <c r="D86" s="16"/>
      <c r="E86" s="16"/>
      <c r="F86" s="16"/>
      <c r="G86" s="46"/>
      <c r="I86" s="61"/>
      <c r="J86" s="61"/>
      <c r="K86" s="55"/>
      <c r="L86" s="46"/>
      <c r="M86" s="55"/>
      <c r="N86" s="55"/>
      <c r="O86" s="55"/>
      <c r="P86" s="55"/>
      <c r="Q86" s="46"/>
      <c r="R86" s="55"/>
      <c r="S86" s="55"/>
      <c r="T86" s="55"/>
      <c r="U86" s="55"/>
      <c r="V86" s="46"/>
    </row>
    <row r="87" spans="2:22" ht="15.75">
      <c r="B87" s="27"/>
      <c r="C87" s="4"/>
      <c r="D87" s="16"/>
      <c r="E87" s="16"/>
      <c r="F87" s="16"/>
      <c r="G87" s="46"/>
      <c r="I87" s="61"/>
      <c r="J87" s="61"/>
      <c r="K87" s="55"/>
      <c r="L87" s="46"/>
      <c r="M87" s="55"/>
      <c r="N87" s="55"/>
      <c r="O87" s="55"/>
      <c r="P87" s="55"/>
      <c r="Q87" s="46"/>
      <c r="R87" s="55"/>
      <c r="S87" s="55"/>
      <c r="T87" s="55"/>
      <c r="U87" s="55"/>
      <c r="V87" s="46"/>
    </row>
    <row r="88" spans="2:22" ht="15.75">
      <c r="B88" s="27"/>
      <c r="C88" s="4"/>
      <c r="D88" s="16"/>
      <c r="E88" s="16"/>
      <c r="F88" s="16"/>
      <c r="G88" s="46"/>
      <c r="I88" s="61"/>
      <c r="J88" s="61"/>
      <c r="K88" s="55"/>
      <c r="L88" s="46"/>
      <c r="M88" s="55"/>
      <c r="N88" s="55"/>
      <c r="O88" s="55"/>
      <c r="P88" s="55"/>
      <c r="Q88" s="46"/>
      <c r="R88" s="55"/>
      <c r="S88" s="55"/>
      <c r="T88" s="55"/>
      <c r="U88" s="55"/>
      <c r="V88" s="46"/>
    </row>
    <row r="89" spans="2:22" ht="15.75">
      <c r="B89" s="27"/>
      <c r="C89" s="4"/>
      <c r="D89" s="16"/>
      <c r="E89" s="16"/>
      <c r="F89" s="16"/>
      <c r="G89" s="46"/>
      <c r="I89" s="61"/>
      <c r="J89" s="61"/>
      <c r="K89" s="55"/>
      <c r="L89" s="46"/>
      <c r="M89" s="55"/>
      <c r="N89" s="55"/>
      <c r="O89" s="55"/>
      <c r="P89" s="55"/>
      <c r="Q89" s="46"/>
      <c r="R89" s="55"/>
      <c r="S89" s="55"/>
      <c r="T89" s="55"/>
      <c r="U89" s="55"/>
      <c r="V89" s="46"/>
    </row>
    <row r="90" spans="2:22" ht="15.75">
      <c r="B90" s="27"/>
      <c r="C90" s="4"/>
      <c r="D90" s="16"/>
      <c r="E90" s="16"/>
      <c r="F90" s="16"/>
      <c r="G90" s="16"/>
      <c r="I90" s="61"/>
      <c r="J90" s="61"/>
      <c r="K90" s="55"/>
      <c r="L90" s="16"/>
      <c r="M90" s="55"/>
      <c r="N90" s="55"/>
      <c r="O90" s="55"/>
      <c r="P90" s="55"/>
      <c r="Q90" s="16"/>
      <c r="R90" s="55"/>
      <c r="S90" s="55"/>
      <c r="T90" s="55"/>
      <c r="U90" s="55"/>
      <c r="V90" s="16"/>
    </row>
    <row r="91" spans="2:22" ht="15.75">
      <c r="B91" s="27"/>
      <c r="C91" s="4"/>
      <c r="D91" s="16"/>
      <c r="E91" s="16"/>
      <c r="F91" s="16"/>
      <c r="G91" s="16"/>
      <c r="I91" s="61"/>
      <c r="J91" s="61"/>
      <c r="K91" s="55"/>
      <c r="L91" s="16"/>
      <c r="M91" s="55"/>
      <c r="N91" s="55"/>
      <c r="O91" s="55"/>
      <c r="P91" s="55"/>
      <c r="Q91" s="16"/>
      <c r="R91" s="55"/>
      <c r="S91" s="55"/>
      <c r="T91" s="55"/>
      <c r="U91" s="55"/>
      <c r="V91" s="16"/>
    </row>
    <row r="92" spans="2:22" ht="15.75">
      <c r="B92" s="27"/>
      <c r="C92" s="4"/>
      <c r="D92" s="16"/>
      <c r="E92" s="16"/>
      <c r="F92" s="16"/>
      <c r="G92" s="16"/>
      <c r="I92" s="61"/>
      <c r="J92" s="61"/>
      <c r="K92" s="55"/>
      <c r="L92" s="16"/>
      <c r="M92" s="55"/>
      <c r="N92" s="55"/>
      <c r="O92" s="55"/>
      <c r="P92" s="55"/>
      <c r="Q92" s="16"/>
      <c r="R92" s="55"/>
      <c r="S92" s="55"/>
      <c r="T92" s="55"/>
      <c r="U92" s="55"/>
      <c r="V92" s="16"/>
    </row>
    <row r="93" spans="2:22" s="20" customFormat="1" ht="15.75">
      <c r="B93" s="6"/>
      <c r="C93" s="22"/>
      <c r="D93" s="30"/>
      <c r="E93" s="30"/>
      <c r="F93" s="30"/>
      <c r="G93" s="30"/>
      <c r="I93" s="62"/>
      <c r="J93" s="62"/>
      <c r="K93" s="62"/>
      <c r="L93" s="30"/>
      <c r="M93" s="62"/>
      <c r="N93" s="62"/>
      <c r="O93" s="62"/>
      <c r="P93" s="62"/>
      <c r="Q93" s="30"/>
      <c r="R93" s="62"/>
      <c r="S93" s="62"/>
      <c r="T93" s="62"/>
      <c r="U93" s="62"/>
      <c r="V93" s="30"/>
    </row>
    <row r="94" spans="2:22" s="20" customFormat="1" ht="15.75">
      <c r="B94" s="6"/>
      <c r="C94" s="17"/>
      <c r="D94" s="31"/>
      <c r="E94" s="30"/>
      <c r="F94" s="30"/>
      <c r="G94" s="30"/>
      <c r="I94" s="62"/>
      <c r="J94" s="62"/>
      <c r="K94" s="62"/>
      <c r="L94" s="30"/>
      <c r="M94" s="62"/>
      <c r="N94" s="62"/>
      <c r="O94" s="62"/>
      <c r="P94" s="62"/>
      <c r="Q94" s="30"/>
      <c r="R94" s="62"/>
      <c r="S94" s="62"/>
      <c r="T94" s="62"/>
      <c r="U94" s="62"/>
      <c r="V94" s="30"/>
    </row>
    <row r="95" spans="2:21" s="20" customFormat="1" ht="15.75">
      <c r="B95" s="6"/>
      <c r="C95" s="17"/>
      <c r="D95" s="31"/>
      <c r="I95" s="62"/>
      <c r="J95" s="62"/>
      <c r="K95" s="62"/>
      <c r="M95" s="62"/>
      <c r="N95" s="62"/>
      <c r="O95" s="62"/>
      <c r="P95" s="62"/>
      <c r="R95" s="62"/>
      <c r="S95" s="62"/>
      <c r="T95" s="62"/>
      <c r="U95" s="62"/>
    </row>
    <row r="96" spans="2:21" s="20" customFormat="1" ht="15">
      <c r="B96" s="6"/>
      <c r="I96" s="62"/>
      <c r="J96" s="62"/>
      <c r="K96" s="62"/>
      <c r="M96" s="62"/>
      <c r="N96" s="62"/>
      <c r="O96" s="62"/>
      <c r="P96" s="62"/>
      <c r="R96" s="62"/>
      <c r="S96" s="62"/>
      <c r="T96" s="62"/>
      <c r="U96" s="62"/>
    </row>
    <row r="97" spans="2:21" s="20" customFormat="1" ht="15">
      <c r="B97" s="6"/>
      <c r="I97" s="62"/>
      <c r="J97" s="62"/>
      <c r="K97" s="62"/>
      <c r="M97" s="62"/>
      <c r="N97" s="62"/>
      <c r="O97" s="62"/>
      <c r="P97" s="62"/>
      <c r="R97" s="62"/>
      <c r="S97" s="62"/>
      <c r="T97" s="62"/>
      <c r="U97" s="62"/>
    </row>
    <row r="98" spans="2:21" s="20" customFormat="1" ht="15">
      <c r="B98" s="6"/>
      <c r="I98" s="62"/>
      <c r="J98" s="62"/>
      <c r="K98" s="62"/>
      <c r="M98" s="62"/>
      <c r="N98" s="62"/>
      <c r="O98" s="62"/>
      <c r="P98" s="62"/>
      <c r="R98" s="62"/>
      <c r="S98" s="62"/>
      <c r="T98" s="62"/>
      <c r="U98" s="62"/>
    </row>
    <row r="99" spans="2:21" s="20" customFormat="1" ht="15">
      <c r="B99" s="6"/>
      <c r="I99" s="62"/>
      <c r="J99" s="62"/>
      <c r="K99" s="62"/>
      <c r="M99" s="62"/>
      <c r="N99" s="62"/>
      <c r="O99" s="62"/>
      <c r="P99" s="62"/>
      <c r="R99" s="62"/>
      <c r="S99" s="62"/>
      <c r="T99" s="62"/>
      <c r="U99" s="62"/>
    </row>
    <row r="100" spans="2:21" s="20" customFormat="1" ht="15.75">
      <c r="B100" s="6"/>
      <c r="C100" s="21"/>
      <c r="I100" s="62"/>
      <c r="J100" s="62"/>
      <c r="K100" s="62"/>
      <c r="M100" s="62"/>
      <c r="N100" s="62"/>
      <c r="O100" s="62"/>
      <c r="P100" s="62"/>
      <c r="R100" s="62"/>
      <c r="S100" s="62"/>
      <c r="T100" s="62"/>
      <c r="U100" s="62"/>
    </row>
    <row r="101" spans="2:21" s="20" customFormat="1" ht="15.75">
      <c r="B101" s="6"/>
      <c r="C101" s="17"/>
      <c r="D101" s="31"/>
      <c r="I101" s="62"/>
      <c r="J101" s="62"/>
      <c r="K101" s="62"/>
      <c r="M101" s="62"/>
      <c r="N101" s="62"/>
      <c r="O101" s="62"/>
      <c r="P101" s="62"/>
      <c r="R101" s="62"/>
      <c r="S101" s="62"/>
      <c r="T101" s="62"/>
      <c r="U101" s="62"/>
    </row>
    <row r="102" spans="2:22" s="20" customFormat="1" ht="15">
      <c r="B102" s="6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</row>
    <row r="103" spans="2:22" s="20" customFormat="1" ht="15">
      <c r="B103" s="6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</row>
    <row r="104" spans="2:22" s="20" customFormat="1" ht="15">
      <c r="B104" s="6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</row>
    <row r="105" spans="2:22" s="20" customFormat="1" ht="15">
      <c r="B105" s="6"/>
      <c r="I105" s="62"/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</row>
    <row r="106" spans="2:22" s="20" customFormat="1" ht="15">
      <c r="B106" s="6"/>
      <c r="I106" s="62"/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</row>
    <row r="107" spans="2:22" s="20" customFormat="1" ht="15">
      <c r="B107" s="6"/>
      <c r="I107" s="62"/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</row>
    <row r="108" s="20" customFormat="1" ht="15">
      <c r="B108" s="6"/>
    </row>
    <row r="109" s="20" customFormat="1" ht="15">
      <c r="B109" s="6"/>
    </row>
    <row r="110" s="20" customFormat="1" ht="15">
      <c r="B110" s="6"/>
    </row>
    <row r="111" s="20" customFormat="1" ht="15">
      <c r="B111" s="6"/>
    </row>
    <row r="112" s="20" customFormat="1" ht="15">
      <c r="B112" s="6"/>
    </row>
    <row r="113" s="20" customFormat="1" ht="15">
      <c r="B113" s="6"/>
    </row>
    <row r="114" s="20" customFormat="1" ht="15">
      <c r="B114" s="6"/>
    </row>
    <row r="115" s="20" customFormat="1" ht="15">
      <c r="B115" s="6"/>
    </row>
    <row r="116" s="20" customFormat="1" ht="15">
      <c r="B116" s="6"/>
    </row>
    <row r="117" s="20" customFormat="1" ht="15">
      <c r="B117" s="6"/>
    </row>
    <row r="118" spans="2:3" s="20" customFormat="1" ht="15.75">
      <c r="B118" s="6"/>
      <c r="C118" s="21"/>
    </row>
    <row r="119" spans="2:3" s="20" customFormat="1" ht="15.75">
      <c r="B119" s="6"/>
      <c r="C119" s="17"/>
    </row>
    <row r="120" s="20" customFormat="1" ht="15">
      <c r="B120" s="6"/>
    </row>
    <row r="121" s="20" customFormat="1" ht="15">
      <c r="B121" s="6"/>
    </row>
    <row r="122" spans="2:4" s="20" customFormat="1" ht="15.75">
      <c r="B122" s="6"/>
      <c r="C122" s="17"/>
      <c r="D122" s="31"/>
    </row>
    <row r="123" spans="2:4" s="20" customFormat="1" ht="15.75">
      <c r="B123" s="6"/>
      <c r="C123" s="17"/>
      <c r="D123" s="31"/>
    </row>
    <row r="124" spans="2:4" s="20" customFormat="1" ht="15.75">
      <c r="B124" s="6"/>
      <c r="C124" s="17"/>
      <c r="D124" s="31"/>
    </row>
    <row r="125" s="20" customFormat="1" ht="15">
      <c r="B125" s="6"/>
    </row>
  </sheetData>
  <mergeCells count="8">
    <mergeCell ref="A1:U1"/>
    <mergeCell ref="A2:U2"/>
    <mergeCell ref="A3:U3"/>
    <mergeCell ref="A4:U4"/>
    <mergeCell ref="S9:V9"/>
    <mergeCell ref="N9:Q9"/>
    <mergeCell ref="I9:L9"/>
    <mergeCell ref="D9:G9"/>
  </mergeCells>
  <printOptions/>
  <pageMargins left="0.3" right="0.3" top="0.5" bottom="0.5" header="0.3" footer="0.3"/>
  <pageSetup fitToHeight="1" fitToWidth="1" horizontalDpi="600" verticalDpi="600" orientation="landscape" scale="4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3"/>
  <sheetViews>
    <sheetView zoomScale="85" zoomScaleNormal="85" workbookViewId="0" topLeftCell="A1">
      <selection activeCell="X17" sqref="X17"/>
    </sheetView>
  </sheetViews>
  <sheetFormatPr defaultColWidth="9.140625" defaultRowHeight="15" outlineLevelRow="3" outlineLevelCol="1"/>
  <cols>
    <col min="1" max="4" width="3.00390625" style="82" customWidth="1"/>
    <col min="5" max="5" width="27.421875" style="82" customWidth="1"/>
    <col min="6" max="6" width="10.00390625" style="83" hidden="1" customWidth="1" outlineLevel="1"/>
    <col min="7" max="7" width="2.28125" style="83" hidden="1" customWidth="1" outlineLevel="1"/>
    <col min="8" max="8" width="10.8515625" style="83" hidden="1" customWidth="1" outlineLevel="1"/>
    <col min="9" max="9" width="2.28125" style="83" hidden="1" customWidth="1" outlineLevel="1"/>
    <col min="10" max="10" width="10.7109375" style="83" hidden="1" customWidth="1" outlineLevel="1"/>
    <col min="11" max="11" width="2.28125" style="83" hidden="1" customWidth="1" outlineLevel="1"/>
    <col min="12" max="12" width="10.28125" style="83" hidden="1" customWidth="1" outlineLevel="1"/>
    <col min="13" max="13" width="2.28125" style="83" hidden="1" customWidth="1" outlineLevel="1"/>
    <col min="14" max="14" width="10.28125" style="83" hidden="1" customWidth="1" outlineLevel="1"/>
    <col min="15" max="15" width="2.28125" style="83" hidden="1" customWidth="1" outlineLevel="1"/>
    <col min="16" max="16" width="10.28125" style="83" hidden="1" customWidth="1" outlineLevel="1"/>
    <col min="17" max="17" width="2.28125" style="83" hidden="1" customWidth="1" outlineLevel="1"/>
    <col min="18" max="18" width="10.28125" style="83" customWidth="1" outlineLevel="1"/>
    <col min="19" max="19" width="2.28125" style="83" customWidth="1" outlineLevel="1"/>
    <col min="20" max="20" width="10.28125" style="83" customWidth="1" outlineLevel="1"/>
    <col min="21" max="21" width="2.28125" style="83" customWidth="1" outlineLevel="1"/>
    <col min="22" max="22" width="10.28125" style="83" customWidth="1" outlineLevel="1"/>
    <col min="23" max="23" width="2.421875" style="83" customWidth="1" outlineLevel="1"/>
    <col min="24" max="24" width="10.28125" style="83" customWidth="1" outlineLevel="1"/>
    <col min="25" max="25" width="2.28125" style="83" customWidth="1" outlineLevel="1"/>
    <col min="26" max="26" width="11.57421875" style="83" bestFit="1" customWidth="1"/>
    <col min="27" max="27" width="13.57421875" style="0" bestFit="1" customWidth="1"/>
  </cols>
  <sheetData>
    <row r="1" spans="1:26" ht="15.75">
      <c r="A1" s="63" t="s">
        <v>98</v>
      </c>
      <c r="B1" s="64"/>
      <c r="C1" s="64"/>
      <c r="D1" s="64"/>
      <c r="E1" s="64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6" t="s">
        <v>99</v>
      </c>
    </row>
    <row r="2" spans="1:26" ht="18">
      <c r="A2" s="67" t="s">
        <v>100</v>
      </c>
      <c r="B2" s="64"/>
      <c r="C2" s="64"/>
      <c r="D2" s="64"/>
      <c r="E2" s="64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8">
        <v>41584</v>
      </c>
    </row>
    <row r="3" spans="1:26" ht="15">
      <c r="A3" s="69" t="s">
        <v>101</v>
      </c>
      <c r="B3" s="64"/>
      <c r="C3" s="64"/>
      <c r="D3" s="64"/>
      <c r="E3" s="64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6" t="s">
        <v>102</v>
      </c>
    </row>
    <row r="4" spans="1:26" s="73" customFormat="1" ht="15.75" thickBot="1">
      <c r="A4" s="70"/>
      <c r="B4" s="70"/>
      <c r="C4" s="70"/>
      <c r="D4" s="70"/>
      <c r="E4" s="70"/>
      <c r="F4" s="71" t="s">
        <v>103</v>
      </c>
      <c r="G4" s="72"/>
      <c r="H4" s="71" t="s">
        <v>104</v>
      </c>
      <c r="I4" s="72"/>
      <c r="J4" s="71" t="s">
        <v>105</v>
      </c>
      <c r="K4" s="72"/>
      <c r="L4" s="71" t="s">
        <v>106</v>
      </c>
      <c r="M4" s="85"/>
      <c r="N4" s="71" t="s">
        <v>148</v>
      </c>
      <c r="O4" s="85"/>
      <c r="P4" s="71" t="s">
        <v>149</v>
      </c>
      <c r="Q4" s="85"/>
      <c r="R4" s="85" t="s">
        <v>150</v>
      </c>
      <c r="S4" s="85"/>
      <c r="T4" s="85" t="s">
        <v>151</v>
      </c>
      <c r="U4" s="85"/>
      <c r="V4" s="85" t="s">
        <v>152</v>
      </c>
      <c r="W4" s="85"/>
      <c r="X4" s="85" t="s">
        <v>153</v>
      </c>
      <c r="Y4" s="72"/>
      <c r="Z4" s="71" t="s">
        <v>107</v>
      </c>
    </row>
    <row r="5" spans="1:26" ht="15.75" outlineLevel="1" thickTop="1">
      <c r="A5" s="74"/>
      <c r="B5" s="74" t="s">
        <v>108</v>
      </c>
      <c r="C5" s="74"/>
      <c r="D5" s="74"/>
      <c r="E5" s="74"/>
      <c r="F5" s="75"/>
      <c r="G5" s="76"/>
      <c r="H5" s="75"/>
      <c r="I5" s="76"/>
      <c r="J5" s="75"/>
      <c r="K5" s="76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6"/>
      <c r="Z5" s="75"/>
    </row>
    <row r="6" spans="1:26" ht="15" outlineLevel="2">
      <c r="A6" s="74"/>
      <c r="B6" s="74"/>
      <c r="C6" s="74" t="s">
        <v>109</v>
      </c>
      <c r="D6" s="74"/>
      <c r="E6" s="74"/>
      <c r="F6" s="75"/>
      <c r="G6" s="76"/>
      <c r="H6" s="75"/>
      <c r="I6" s="76"/>
      <c r="J6" s="75"/>
      <c r="K6" s="76"/>
      <c r="L6" s="75"/>
      <c r="M6" s="75"/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6"/>
      <c r="Z6" s="75"/>
    </row>
    <row r="7" spans="1:26" ht="15" outlineLevel="2">
      <c r="A7" s="74"/>
      <c r="B7" s="74"/>
      <c r="C7" s="74"/>
      <c r="D7" s="74" t="s">
        <v>110</v>
      </c>
      <c r="E7" s="74"/>
      <c r="F7" s="75">
        <v>69991</v>
      </c>
      <c r="G7" s="76"/>
      <c r="H7" s="75">
        <v>62134</v>
      </c>
      <c r="I7" s="76"/>
      <c r="J7" s="75">
        <v>66757.34</v>
      </c>
      <c r="K7" s="76"/>
      <c r="L7" s="75">
        <v>74894.54</v>
      </c>
      <c r="M7" s="75"/>
      <c r="N7" s="75">
        <v>66034</v>
      </c>
      <c r="O7" s="75"/>
      <c r="P7" s="75">
        <v>62133</v>
      </c>
      <c r="Q7" s="75"/>
      <c r="R7" s="75">
        <v>66034</v>
      </c>
      <c r="S7" s="75"/>
      <c r="T7" s="75">
        <v>67769</v>
      </c>
      <c r="U7" s="75"/>
      <c r="V7" s="75">
        <v>73788</v>
      </c>
      <c r="W7" s="75"/>
      <c r="X7" s="75">
        <v>67767</v>
      </c>
      <c r="Y7" s="76"/>
      <c r="Z7" s="75">
        <f>ROUND(SUM(F7:X7),5)</f>
        <v>677301.88</v>
      </c>
    </row>
    <row r="8" spans="1:26" ht="15.75" outlineLevel="2" thickBot="1">
      <c r="A8" s="74"/>
      <c r="B8" s="74"/>
      <c r="C8" s="74"/>
      <c r="D8" s="74" t="s">
        <v>111</v>
      </c>
      <c r="E8" s="74"/>
      <c r="F8" s="77">
        <v>0</v>
      </c>
      <c r="G8" s="76"/>
      <c r="H8" s="77">
        <v>0</v>
      </c>
      <c r="I8" s="76"/>
      <c r="J8" s="77">
        <v>0</v>
      </c>
      <c r="K8" s="76"/>
      <c r="L8" s="77">
        <v>4000</v>
      </c>
      <c r="M8" s="78"/>
      <c r="N8" s="78">
        <v>7698.31</v>
      </c>
      <c r="O8" s="78"/>
      <c r="P8" s="77">
        <v>5809.93</v>
      </c>
      <c r="Q8" s="78"/>
      <c r="R8" s="78">
        <v>4995.77</v>
      </c>
      <c r="S8" s="78"/>
      <c r="T8" s="78">
        <v>6097.63</v>
      </c>
      <c r="U8" s="78"/>
      <c r="V8" s="78">
        <v>6802.56</v>
      </c>
      <c r="W8" s="78"/>
      <c r="X8" s="78">
        <v>5314.96</v>
      </c>
      <c r="Y8" s="76"/>
      <c r="Z8" s="77">
        <f>ROUND(SUM(F8:X8),5)</f>
        <v>40719.16</v>
      </c>
    </row>
    <row r="9" spans="1:26" ht="15" outlineLevel="1">
      <c r="A9" s="74"/>
      <c r="B9" s="74"/>
      <c r="C9" s="74" t="s">
        <v>112</v>
      </c>
      <c r="D9" s="74"/>
      <c r="E9" s="74"/>
      <c r="F9" s="75">
        <f>ROUND(SUM(F6:F8),5)</f>
        <v>69991</v>
      </c>
      <c r="G9" s="76"/>
      <c r="H9" s="75">
        <f>ROUND(SUM(H6:H8),5)</f>
        <v>62134</v>
      </c>
      <c r="I9" s="76"/>
      <c r="J9" s="75">
        <f>ROUND(SUM(J6:J8),5)</f>
        <v>66757.34</v>
      </c>
      <c r="K9" s="76"/>
      <c r="L9" s="75">
        <f>ROUND(SUM(L6:L8),5)</f>
        <v>78894.54</v>
      </c>
      <c r="M9" s="75"/>
      <c r="N9" s="75">
        <f>ROUND(SUM(N6:N8),5)</f>
        <v>73732.31</v>
      </c>
      <c r="O9" s="75"/>
      <c r="P9" s="75">
        <f>ROUND(SUM(P6:P8),5)</f>
        <v>67942.93</v>
      </c>
      <c r="Q9" s="75"/>
      <c r="R9" s="75">
        <f>ROUND(SUM(R6:R8),5)</f>
        <v>71029.77</v>
      </c>
      <c r="S9" s="75"/>
      <c r="T9" s="75">
        <f>ROUND(SUM(T6:T8),5)</f>
        <v>73866.63</v>
      </c>
      <c r="U9" s="75"/>
      <c r="V9" s="75">
        <f>ROUND(SUM(V6:V8),5)</f>
        <v>80590.56</v>
      </c>
      <c r="W9" s="75"/>
      <c r="X9" s="75">
        <f>ROUND(SUM(X6:X8),5)</f>
        <v>73081.96</v>
      </c>
      <c r="Y9" s="76"/>
      <c r="Z9" s="75">
        <f>ROUND(SUM(F9:X9),5)</f>
        <v>718021.04</v>
      </c>
    </row>
    <row r="10" spans="1:26" ht="30" customHeight="1" outlineLevel="2">
      <c r="A10" s="74"/>
      <c r="B10" s="74"/>
      <c r="C10" s="74" t="s">
        <v>113</v>
      </c>
      <c r="D10" s="74"/>
      <c r="E10" s="74"/>
      <c r="F10" s="75"/>
      <c r="G10" s="76"/>
      <c r="H10" s="75"/>
      <c r="I10" s="76"/>
      <c r="J10" s="75"/>
      <c r="K10" s="76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6"/>
      <c r="Z10" s="75"/>
    </row>
    <row r="11" spans="1:26" ht="15" outlineLevel="2">
      <c r="A11" s="74"/>
      <c r="B11" s="74"/>
      <c r="C11" s="74"/>
      <c r="D11" s="74" t="s">
        <v>114</v>
      </c>
      <c r="E11" s="74"/>
      <c r="F11" s="75">
        <v>0</v>
      </c>
      <c r="G11" s="76"/>
      <c r="H11" s="75">
        <v>13569.27</v>
      </c>
      <c r="I11" s="76"/>
      <c r="J11" s="75">
        <v>52577.62</v>
      </c>
      <c r="K11" s="76"/>
      <c r="L11" s="75">
        <f>41012.78-5182.94</f>
        <v>35829.84</v>
      </c>
      <c r="M11" s="75"/>
      <c r="N11" s="75">
        <v>24472.47</v>
      </c>
      <c r="O11" s="75"/>
      <c r="P11" s="75">
        <f>236909.51-167933.56</f>
        <v>68975.95000000001</v>
      </c>
      <c r="Q11" s="75"/>
      <c r="R11" s="75">
        <f>41484.36+150-762.94</f>
        <v>40871.42</v>
      </c>
      <c r="S11" s="75"/>
      <c r="T11" s="75">
        <f>25332.49-4420</f>
        <v>20912.49</v>
      </c>
      <c r="U11" s="75"/>
      <c r="V11" s="75">
        <f>305609.87-257209.06-5183</f>
        <v>43217.81</v>
      </c>
      <c r="W11" s="75"/>
      <c r="X11" s="75">
        <v>65867.67</v>
      </c>
      <c r="Y11" s="76"/>
      <c r="Z11" s="104">
        <f aca="true" t="shared" si="0" ref="Z11:Z29">ROUND(SUM(F11:V11),5)</f>
        <v>300426.87</v>
      </c>
    </row>
    <row r="12" spans="1:26" ht="15" outlineLevel="2">
      <c r="A12" s="74"/>
      <c r="B12" s="74"/>
      <c r="C12" s="74"/>
      <c r="D12" s="74" t="s">
        <v>115</v>
      </c>
      <c r="E12" s="74"/>
      <c r="F12" s="75">
        <v>0</v>
      </c>
      <c r="G12" s="76"/>
      <c r="H12" s="75">
        <v>0</v>
      </c>
      <c r="I12" s="76"/>
      <c r="J12" s="75">
        <v>0</v>
      </c>
      <c r="K12" s="76"/>
      <c r="L12" s="75">
        <v>3732</v>
      </c>
      <c r="M12" s="75"/>
      <c r="N12" s="75">
        <v>3732</v>
      </c>
      <c r="O12" s="75"/>
      <c r="P12" s="75"/>
      <c r="Q12" s="75"/>
      <c r="R12" s="75"/>
      <c r="S12" s="75"/>
      <c r="T12" s="75">
        <v>0</v>
      </c>
      <c r="U12" s="75"/>
      <c r="V12" s="75"/>
      <c r="W12" s="75"/>
      <c r="X12" s="75">
        <v>1054</v>
      </c>
      <c r="Y12" s="76"/>
      <c r="Z12" s="104">
        <f t="shared" si="0"/>
        <v>7464</v>
      </c>
    </row>
    <row r="13" spans="1:26" ht="15" outlineLevel="3">
      <c r="A13" s="74"/>
      <c r="B13" s="74"/>
      <c r="C13" s="74"/>
      <c r="D13" s="74" t="s">
        <v>116</v>
      </c>
      <c r="E13" s="74"/>
      <c r="F13" s="75"/>
      <c r="G13" s="76"/>
      <c r="H13" s="75"/>
      <c r="I13" s="76"/>
      <c r="J13" s="75"/>
      <c r="K13" s="76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6"/>
      <c r="Z13" s="75">
        <f t="shared" si="0"/>
        <v>0</v>
      </c>
    </row>
    <row r="14" spans="1:26" ht="15" outlineLevel="3">
      <c r="A14" s="74"/>
      <c r="B14" s="74"/>
      <c r="C14" s="74"/>
      <c r="D14" s="74"/>
      <c r="E14" s="74" t="s">
        <v>117</v>
      </c>
      <c r="F14" s="75">
        <v>0</v>
      </c>
      <c r="G14" s="76"/>
      <c r="H14" s="75">
        <v>12060.55</v>
      </c>
      <c r="I14" s="76"/>
      <c r="J14" s="75">
        <v>322.43</v>
      </c>
      <c r="K14" s="76"/>
      <c r="L14" s="75">
        <v>13842.76</v>
      </c>
      <c r="M14" s="75"/>
      <c r="N14" s="75">
        <v>4925.3</v>
      </c>
      <c r="O14" s="75"/>
      <c r="P14" s="75">
        <f>41840.64-35951.64</f>
        <v>5889</v>
      </c>
      <c r="Q14" s="75"/>
      <c r="R14" s="75">
        <v>4800.6</v>
      </c>
      <c r="S14" s="75"/>
      <c r="T14" s="75">
        <v>80</v>
      </c>
      <c r="U14" s="75"/>
      <c r="V14" s="75">
        <f>-41920.64+51245.54</f>
        <v>9324.900000000001</v>
      </c>
      <c r="W14" s="75"/>
      <c r="X14" s="75"/>
      <c r="Y14" s="76"/>
      <c r="Z14" s="104">
        <f t="shared" si="0"/>
        <v>51245.54</v>
      </c>
    </row>
    <row r="15" spans="1:26" ht="15" outlineLevel="3">
      <c r="A15" s="74"/>
      <c r="B15" s="74"/>
      <c r="C15" s="74"/>
      <c r="D15" s="74"/>
      <c r="E15" s="74" t="s">
        <v>118</v>
      </c>
      <c r="F15" s="75">
        <v>0</v>
      </c>
      <c r="G15" s="76"/>
      <c r="H15" s="75">
        <v>0</v>
      </c>
      <c r="I15" s="76"/>
      <c r="J15" s="75">
        <v>0</v>
      </c>
      <c r="K15" s="76"/>
      <c r="L15" s="75">
        <v>403</v>
      </c>
      <c r="M15" s="75"/>
      <c r="N15" s="75">
        <v>0</v>
      </c>
      <c r="O15" s="75"/>
      <c r="P15" s="75">
        <v>0</v>
      </c>
      <c r="Q15" s="75"/>
      <c r="R15" s="75"/>
      <c r="S15" s="75"/>
      <c r="T15" s="75"/>
      <c r="U15" s="75"/>
      <c r="V15" s="75"/>
      <c r="W15" s="75"/>
      <c r="X15" s="75"/>
      <c r="Y15" s="76"/>
      <c r="Z15" s="75">
        <f t="shared" si="0"/>
        <v>403</v>
      </c>
    </row>
    <row r="16" spans="1:26" ht="15" outlineLevel="3">
      <c r="A16" s="74"/>
      <c r="B16" s="74"/>
      <c r="C16" s="74"/>
      <c r="D16" s="74"/>
      <c r="E16" s="74" t="s">
        <v>119</v>
      </c>
      <c r="F16" s="75">
        <v>0</v>
      </c>
      <c r="G16" s="76"/>
      <c r="H16" s="75">
        <v>900</v>
      </c>
      <c r="I16" s="76"/>
      <c r="J16" s="75">
        <v>0</v>
      </c>
      <c r="K16" s="76"/>
      <c r="L16" s="75">
        <v>0</v>
      </c>
      <c r="M16" s="75"/>
      <c r="N16" s="75">
        <v>600</v>
      </c>
      <c r="O16" s="75"/>
      <c r="P16" s="75">
        <f>2736.33-2136.33</f>
        <v>600</v>
      </c>
      <c r="Q16" s="75"/>
      <c r="R16" s="75">
        <v>636.33</v>
      </c>
      <c r="S16" s="75"/>
      <c r="T16" s="75"/>
      <c r="U16" s="75"/>
      <c r="V16" s="75">
        <f>509.34+510</f>
        <v>1019.3399999999999</v>
      </c>
      <c r="W16" s="75"/>
      <c r="X16" s="75">
        <v>710</v>
      </c>
      <c r="Y16" s="76"/>
      <c r="Z16" s="104">
        <f t="shared" si="0"/>
        <v>3755.67</v>
      </c>
    </row>
    <row r="17" spans="1:26" ht="15" outlineLevel="3">
      <c r="A17" s="74"/>
      <c r="B17" s="74"/>
      <c r="C17" s="74"/>
      <c r="D17" s="74"/>
      <c r="E17" s="74" t="s">
        <v>120</v>
      </c>
      <c r="F17" s="75">
        <v>0</v>
      </c>
      <c r="G17" s="76"/>
      <c r="H17" s="75">
        <v>11093.92</v>
      </c>
      <c r="I17" s="76"/>
      <c r="J17" s="75">
        <f>11093.92+253.03</f>
        <v>11346.95</v>
      </c>
      <c r="K17" s="76"/>
      <c r="L17" s="75">
        <f>33552.69-(11093.92*2)</f>
        <v>11364.850000000002</v>
      </c>
      <c r="M17" s="75"/>
      <c r="N17" s="75">
        <f>11093.92+89</f>
        <v>11182.92</v>
      </c>
      <c r="O17" s="75"/>
      <c r="P17" s="75">
        <f>94328.01-57664.28-5093.73</f>
        <v>31569.999999999996</v>
      </c>
      <c r="Q17" s="75"/>
      <c r="R17" s="75">
        <f>12675.64+5093.73+612</f>
        <v>18381.37</v>
      </c>
      <c r="S17" s="75"/>
      <c r="T17" s="75">
        <v>14448.37</v>
      </c>
      <c r="U17" s="75"/>
      <c r="V17" s="75">
        <f>121640.51-109388.38</f>
        <v>12252.12999999999</v>
      </c>
      <c r="W17" s="75"/>
      <c r="X17" s="75">
        <v>12039.31</v>
      </c>
      <c r="Y17" s="76"/>
      <c r="Z17" s="104">
        <f t="shared" si="0"/>
        <v>121640.51</v>
      </c>
    </row>
    <row r="18" spans="1:26" ht="15" outlineLevel="3">
      <c r="A18" s="74"/>
      <c r="B18" s="74"/>
      <c r="C18" s="74"/>
      <c r="D18" s="74"/>
      <c r="E18" s="74" t="s">
        <v>121</v>
      </c>
      <c r="F18" s="75">
        <v>0</v>
      </c>
      <c r="G18" s="76"/>
      <c r="H18" s="75">
        <v>395.75</v>
      </c>
      <c r="I18" s="76"/>
      <c r="J18" s="75">
        <v>371.09</v>
      </c>
      <c r="K18" s="76"/>
      <c r="L18" s="75">
        <v>0</v>
      </c>
      <c r="M18" s="75"/>
      <c r="N18" s="75">
        <v>413.65</v>
      </c>
      <c r="O18" s="75"/>
      <c r="P18" s="75" t="e">
        <f>-1180.49+#REF!</f>
        <v>#REF!</v>
      </c>
      <c r="Q18" s="75"/>
      <c r="R18" s="75">
        <v>419.8</v>
      </c>
      <c r="S18" s="75"/>
      <c r="T18" s="75"/>
      <c r="U18" s="75"/>
      <c r="V18" s="75">
        <f>2845.7-2190.4</f>
        <v>655.2999999999997</v>
      </c>
      <c r="W18" s="75"/>
      <c r="X18" s="75"/>
      <c r="Y18" s="76"/>
      <c r="Z18" s="75" t="e">
        <f t="shared" si="0"/>
        <v>#REF!</v>
      </c>
    </row>
    <row r="19" spans="1:26" ht="15" outlineLevel="3">
      <c r="A19" s="74"/>
      <c r="B19" s="74"/>
      <c r="C19" s="74"/>
      <c r="D19" s="74"/>
      <c r="E19" s="74" t="s">
        <v>122</v>
      </c>
      <c r="F19" s="75">
        <v>0</v>
      </c>
      <c r="G19" s="76"/>
      <c r="H19" s="75">
        <v>381.68</v>
      </c>
      <c r="I19" s="76"/>
      <c r="J19" s="75">
        <v>905.96</v>
      </c>
      <c r="K19" s="76"/>
      <c r="L19" s="75">
        <v>1137.8</v>
      </c>
      <c r="M19" s="75"/>
      <c r="N19" s="75">
        <v>383.32</v>
      </c>
      <c r="O19" s="75"/>
      <c r="P19" s="75">
        <f>-2808.76+3192.08</f>
        <v>383.3199999999997</v>
      </c>
      <c r="Q19" s="75"/>
      <c r="R19" s="75">
        <v>1621.73</v>
      </c>
      <c r="S19" s="75"/>
      <c r="T19" s="75"/>
      <c r="U19" s="75"/>
      <c r="V19" s="75">
        <f>5620.53-4813.81</f>
        <v>806.7199999999993</v>
      </c>
      <c r="W19" s="75"/>
      <c r="X19" s="75"/>
      <c r="Y19" s="76"/>
      <c r="Z19" s="75">
        <f t="shared" si="0"/>
        <v>5620.53</v>
      </c>
    </row>
    <row r="20" spans="1:26" ht="15.75" outlineLevel="3" thickBot="1">
      <c r="A20" s="74"/>
      <c r="B20" s="74"/>
      <c r="C20" s="74"/>
      <c r="D20" s="74"/>
      <c r="E20" s="74" t="s">
        <v>123</v>
      </c>
      <c r="F20" s="77">
        <v>0</v>
      </c>
      <c r="G20" s="76"/>
      <c r="H20" s="77">
        <v>2300.05</v>
      </c>
      <c r="I20" s="76"/>
      <c r="J20" s="77">
        <v>4096.2</v>
      </c>
      <c r="K20" s="76"/>
      <c r="L20" s="77">
        <v>6125.71</v>
      </c>
      <c r="M20" s="78"/>
      <c r="N20" s="77">
        <v>8533.7</v>
      </c>
      <c r="O20" s="78"/>
      <c r="P20" s="78">
        <f>33071.52+510+509.34+1793.3-27277.46</f>
        <v>8606.699999999997</v>
      </c>
      <c r="Q20" s="78"/>
      <c r="R20" s="78">
        <f>5642.46+509.34+70</f>
        <v>6221.8</v>
      </c>
      <c r="S20" s="78"/>
      <c r="T20" s="78">
        <v>6356.3</v>
      </c>
      <c r="U20" s="78"/>
      <c r="V20" s="78">
        <f>46644.97-42240.46+1793.3</f>
        <v>6197.810000000002</v>
      </c>
      <c r="W20" s="78"/>
      <c r="X20" s="78"/>
      <c r="Y20" s="76"/>
      <c r="Z20" s="77">
        <f t="shared" si="0"/>
        <v>48438.27</v>
      </c>
    </row>
    <row r="21" spans="1:27" ht="15" outlineLevel="2">
      <c r="A21" s="74"/>
      <c r="B21" s="74"/>
      <c r="C21" s="74"/>
      <c r="D21" s="74" t="s">
        <v>124</v>
      </c>
      <c r="E21" s="74"/>
      <c r="F21" s="75">
        <f>ROUND(SUM(F13:F20),5)</f>
        <v>0</v>
      </c>
      <c r="G21" s="76"/>
      <c r="H21" s="75">
        <f>ROUND(SUM(H13:H20),5)</f>
        <v>27131.95</v>
      </c>
      <c r="I21" s="76"/>
      <c r="J21" s="75">
        <f>ROUND(SUM(J13:J20),5)</f>
        <v>17042.63</v>
      </c>
      <c r="K21" s="76"/>
      <c r="L21" s="75">
        <f>ROUND(SUM(L13:L20),5)</f>
        <v>32874.12</v>
      </c>
      <c r="M21" s="75"/>
      <c r="N21" s="75">
        <f aca="true" t="shared" si="1" ref="N21:R21">ROUND(SUM(N13:N20),5)</f>
        <v>26038.89</v>
      </c>
      <c r="O21" s="75"/>
      <c r="P21" s="75" t="e">
        <f t="shared" si="1"/>
        <v>#REF!</v>
      </c>
      <c r="Q21" s="75"/>
      <c r="R21" s="75">
        <f t="shared" si="1"/>
        <v>32081.63</v>
      </c>
      <c r="S21" s="75"/>
      <c r="T21" s="75">
        <f>ROUND(SUM(T13:T20),5)</f>
        <v>20884.67</v>
      </c>
      <c r="U21" s="75"/>
      <c r="V21" s="75">
        <f>ROUND(SUM(V13:V20),5)</f>
        <v>30256.2</v>
      </c>
      <c r="W21" s="75"/>
      <c r="X21" s="75"/>
      <c r="Y21" s="76"/>
      <c r="Z21" s="75" t="e">
        <f t="shared" si="0"/>
        <v>#REF!</v>
      </c>
      <c r="AA21" s="102" t="e">
        <f>Z21-233949.22</f>
        <v>#REF!</v>
      </c>
    </row>
    <row r="22" spans="1:26" ht="30" customHeight="1" outlineLevel="2">
      <c r="A22" s="74"/>
      <c r="B22" s="74"/>
      <c r="C22" s="74"/>
      <c r="D22" s="74" t="s">
        <v>125</v>
      </c>
      <c r="E22" s="74"/>
      <c r="F22" s="75">
        <v>19.05</v>
      </c>
      <c r="G22" s="76"/>
      <c r="H22" s="75">
        <v>1797.12</v>
      </c>
      <c r="I22" s="76"/>
      <c r="J22" s="75">
        <f>2042.19-J26*2</f>
        <v>1516.5300000000002</v>
      </c>
      <c r="K22" s="76"/>
      <c r="L22" s="75">
        <v>44.3</v>
      </c>
      <c r="M22" s="75"/>
      <c r="N22" s="75">
        <v>51.9</v>
      </c>
      <c r="O22" s="75"/>
      <c r="P22" s="75">
        <f>7704.53-3428.9</f>
        <v>4275.629999999999</v>
      </c>
      <c r="Q22" s="75"/>
      <c r="R22" s="75">
        <v>46.87</v>
      </c>
      <c r="S22" s="75"/>
      <c r="T22" s="75">
        <v>47.91</v>
      </c>
      <c r="U22" s="75"/>
      <c r="V22" s="75">
        <f>-7799.31+11501.89</f>
        <v>3702.579999999999</v>
      </c>
      <c r="W22" s="75"/>
      <c r="X22" s="75"/>
      <c r="Y22" s="76"/>
      <c r="Z22" s="75">
        <f t="shared" si="0"/>
        <v>11501.89</v>
      </c>
    </row>
    <row r="23" spans="1:26" ht="15" outlineLevel="2">
      <c r="A23" s="74"/>
      <c r="B23" s="74"/>
      <c r="C23" s="74"/>
      <c r="D23" s="74" t="s">
        <v>126</v>
      </c>
      <c r="E23" s="74"/>
      <c r="F23" s="75">
        <v>0</v>
      </c>
      <c r="G23" s="76"/>
      <c r="H23" s="75">
        <v>7148.75</v>
      </c>
      <c r="I23" s="76"/>
      <c r="J23" s="75">
        <v>1353.95</v>
      </c>
      <c r="K23" s="76"/>
      <c r="L23" s="75">
        <v>566.36</v>
      </c>
      <c r="M23" s="75"/>
      <c r="N23" s="75">
        <v>1140.14</v>
      </c>
      <c r="O23" s="75"/>
      <c r="P23" s="75">
        <v>173.14</v>
      </c>
      <c r="Q23" s="75"/>
      <c r="R23" s="75">
        <v>3305.34</v>
      </c>
      <c r="S23" s="75"/>
      <c r="T23" s="75">
        <v>104.14</v>
      </c>
      <c r="U23" s="75"/>
      <c r="V23" s="75">
        <f>14325.06-13791.82</f>
        <v>533.2399999999998</v>
      </c>
      <c r="W23" s="75"/>
      <c r="X23" s="75"/>
      <c r="Y23" s="76"/>
      <c r="Z23" s="75">
        <f t="shared" si="0"/>
        <v>14325.06</v>
      </c>
    </row>
    <row r="24" spans="1:26" ht="15" outlineLevel="2">
      <c r="A24" s="74"/>
      <c r="B24" s="74"/>
      <c r="C24" s="74"/>
      <c r="D24" s="74" t="s">
        <v>127</v>
      </c>
      <c r="E24" s="74"/>
      <c r="F24" s="75">
        <v>0</v>
      </c>
      <c r="G24" s="76"/>
      <c r="H24" s="75">
        <v>3581.49</v>
      </c>
      <c r="I24" s="76"/>
      <c r="J24" s="75">
        <v>0</v>
      </c>
      <c r="K24" s="76"/>
      <c r="L24" s="75">
        <v>563.1</v>
      </c>
      <c r="M24" s="75"/>
      <c r="N24" s="75">
        <v>495</v>
      </c>
      <c r="O24" s="75"/>
      <c r="P24" s="75">
        <f>5597.72-4639.59</f>
        <v>958.1300000000001</v>
      </c>
      <c r="Q24" s="75"/>
      <c r="R24" s="75">
        <v>354.01</v>
      </c>
      <c r="S24" s="75"/>
      <c r="T24" s="75">
        <v>1698.84</v>
      </c>
      <c r="U24" s="75"/>
      <c r="V24" s="75">
        <v>612.24</v>
      </c>
      <c r="W24" s="75"/>
      <c r="X24" s="75"/>
      <c r="Y24" s="76"/>
      <c r="Z24" s="75">
        <f t="shared" si="0"/>
        <v>8262.81</v>
      </c>
    </row>
    <row r="25" spans="1:26" ht="15" outlineLevel="2">
      <c r="A25" s="74"/>
      <c r="B25" s="74"/>
      <c r="C25" s="74"/>
      <c r="D25" s="74" t="s">
        <v>128</v>
      </c>
      <c r="E25" s="74"/>
      <c r="F25" s="78">
        <v>0</v>
      </c>
      <c r="G25" s="76"/>
      <c r="H25" s="78">
        <v>200</v>
      </c>
      <c r="I25" s="76"/>
      <c r="J25" s="78">
        <v>287</v>
      </c>
      <c r="K25" s="76"/>
      <c r="L25" s="78">
        <v>3</v>
      </c>
      <c r="M25" s="78"/>
      <c r="N25" s="78">
        <v>1251.32</v>
      </c>
      <c r="O25" s="78"/>
      <c r="P25" s="78">
        <f>1535-1744.32</f>
        <v>-209.31999999999994</v>
      </c>
      <c r="Q25" s="78"/>
      <c r="R25" s="78">
        <v>3</v>
      </c>
      <c r="S25" s="78"/>
      <c r="T25" s="78">
        <v>3</v>
      </c>
      <c r="U25" s="78"/>
      <c r="V25" s="78">
        <f>1979.53-1538</f>
        <v>441.53</v>
      </c>
      <c r="W25" s="78"/>
      <c r="X25" s="78"/>
      <c r="Y25" s="76"/>
      <c r="Z25" s="78">
        <f t="shared" si="0"/>
        <v>1979.53</v>
      </c>
    </row>
    <row r="26" spans="1:26" ht="15.75" outlineLevel="2" thickBot="1">
      <c r="A26" s="74"/>
      <c r="B26" s="74"/>
      <c r="C26" s="74"/>
      <c r="D26" s="74" t="s">
        <v>147</v>
      </c>
      <c r="E26" s="74"/>
      <c r="F26" s="78"/>
      <c r="G26" s="76"/>
      <c r="H26" s="78"/>
      <c r="I26" s="76"/>
      <c r="J26" s="78">
        <v>262.83</v>
      </c>
      <c r="K26" s="76"/>
      <c r="L26" s="78">
        <v>262.83</v>
      </c>
      <c r="M26" s="78"/>
      <c r="N26" s="78">
        <v>0</v>
      </c>
      <c r="O26" s="78"/>
      <c r="P26" s="78">
        <f>1488.49-1288.49</f>
        <v>200</v>
      </c>
      <c r="Q26" s="78"/>
      <c r="R26" s="78">
        <v>762.83</v>
      </c>
      <c r="S26" s="78"/>
      <c r="T26" s="78"/>
      <c r="U26" s="78"/>
      <c r="V26" s="78">
        <v>512.83</v>
      </c>
      <c r="W26" s="78"/>
      <c r="X26" s="78">
        <v>262.83</v>
      </c>
      <c r="Y26" s="76"/>
      <c r="Z26" s="103">
        <f t="shared" si="0"/>
        <v>2001.32</v>
      </c>
    </row>
    <row r="27" spans="1:26" ht="15.75" outlineLevel="1" thickBot="1">
      <c r="A27" s="74"/>
      <c r="B27" s="74"/>
      <c r="C27" s="74" t="s">
        <v>129</v>
      </c>
      <c r="D27" s="74"/>
      <c r="E27" s="74"/>
      <c r="F27" s="79">
        <f>ROUND(SUM(F10:F12)+SUM(F21:F26),5)</f>
        <v>19.05</v>
      </c>
      <c r="G27" s="76"/>
      <c r="H27" s="79">
        <f>ROUND(SUM(H10:H12)+SUM(H21:H26),5)</f>
        <v>53428.58</v>
      </c>
      <c r="I27" s="76"/>
      <c r="J27" s="79">
        <f>ROUND(SUM(J10:J12)+SUM(J21:J26),5)</f>
        <v>73040.56</v>
      </c>
      <c r="K27" s="76"/>
      <c r="L27" s="79">
        <f>ROUND(SUM(L10:L12)+SUM(L21:L26),5)</f>
        <v>73875.55</v>
      </c>
      <c r="M27" s="78"/>
      <c r="N27" s="79">
        <f>ROUND(SUM(N10:N12)+SUM(N21:N26),5)</f>
        <v>57181.72</v>
      </c>
      <c r="O27" s="78"/>
      <c r="P27" s="79" t="e">
        <f>ROUND(SUM(P10:P12)+SUM(P21:P26),5)</f>
        <v>#REF!</v>
      </c>
      <c r="Q27" s="78"/>
      <c r="R27" s="79">
        <f>ROUND(SUM(R10:R12)+SUM(R21:R26),5)</f>
        <v>77425.1</v>
      </c>
      <c r="S27" s="78"/>
      <c r="T27" s="79">
        <f>ROUND(SUM(T10:T12)+SUM(T21:T26),5)</f>
        <v>43651.05</v>
      </c>
      <c r="U27" s="78"/>
      <c r="V27" s="79">
        <f>ROUND(SUM(V10:V12)+SUM(V21:V26),5)</f>
        <v>79276.43</v>
      </c>
      <c r="W27" s="78"/>
      <c r="X27" s="78"/>
      <c r="Y27" s="76"/>
      <c r="Z27" s="105" t="e">
        <f t="shared" si="0"/>
        <v>#REF!</v>
      </c>
    </row>
    <row r="28" spans="1:26" ht="30" customHeight="1" thickBot="1">
      <c r="A28" s="74"/>
      <c r="B28" s="74" t="s">
        <v>130</v>
      </c>
      <c r="C28" s="74"/>
      <c r="D28" s="74"/>
      <c r="E28" s="74"/>
      <c r="F28" s="79">
        <f>ROUND(F5+F9-F27,5)</f>
        <v>69971.95</v>
      </c>
      <c r="G28" s="76"/>
      <c r="H28" s="79">
        <f>ROUND(H5+H9-H27,5)</f>
        <v>8705.42</v>
      </c>
      <c r="I28" s="76"/>
      <c r="J28" s="79">
        <f>ROUND(J5+J9-J27,5)</f>
        <v>-6283.22</v>
      </c>
      <c r="K28" s="76"/>
      <c r="L28" s="79">
        <f>ROUND(L5+L9-L27,5)</f>
        <v>5018.99</v>
      </c>
      <c r="M28" s="78"/>
      <c r="N28" s="79">
        <f>ROUND(N5+N9-N27,5)</f>
        <v>16550.59</v>
      </c>
      <c r="O28" s="78"/>
      <c r="P28" s="79" t="e">
        <f>ROUND(P5+P9-P27,5)</f>
        <v>#REF!</v>
      </c>
      <c r="Q28" s="78"/>
      <c r="R28" s="79">
        <f>ROUND(R5+R9-R27,5)</f>
        <v>-6395.33</v>
      </c>
      <c r="S28" s="78"/>
      <c r="T28" s="79">
        <f>ROUND(T5+T9-T27,5)</f>
        <v>30215.58</v>
      </c>
      <c r="U28" s="78"/>
      <c r="V28" s="79">
        <f>ROUND(V5+V9-V27,5)</f>
        <v>1314.13</v>
      </c>
      <c r="W28" s="78"/>
      <c r="X28" s="78"/>
      <c r="Y28" s="76"/>
      <c r="Z28" s="79" t="e">
        <f t="shared" si="0"/>
        <v>#REF!</v>
      </c>
    </row>
    <row r="29" spans="1:27" s="81" customFormat="1" ht="30" customHeight="1" thickBot="1">
      <c r="A29" s="74" t="s">
        <v>131</v>
      </c>
      <c r="B29" s="74"/>
      <c r="C29" s="74"/>
      <c r="D29" s="74"/>
      <c r="E29" s="74"/>
      <c r="F29" s="80">
        <f>F28</f>
        <v>69971.95</v>
      </c>
      <c r="G29" s="74"/>
      <c r="H29" s="80">
        <f>H28</f>
        <v>8705.42</v>
      </c>
      <c r="I29" s="74"/>
      <c r="J29" s="80">
        <f>J28</f>
        <v>-6283.22</v>
      </c>
      <c r="K29" s="74"/>
      <c r="L29" s="80">
        <f>L28</f>
        <v>5018.99</v>
      </c>
      <c r="M29" s="86"/>
      <c r="N29" s="80">
        <f>N28</f>
        <v>16550.59</v>
      </c>
      <c r="O29" s="86"/>
      <c r="P29" s="80" t="e">
        <f>P28</f>
        <v>#REF!</v>
      </c>
      <c r="Q29" s="86"/>
      <c r="R29" s="80">
        <f>R28</f>
        <v>-6395.33</v>
      </c>
      <c r="S29" s="86"/>
      <c r="T29" s="80">
        <f>T28</f>
        <v>30215.58</v>
      </c>
      <c r="U29" s="86"/>
      <c r="V29" s="80">
        <f>V28</f>
        <v>1314.13</v>
      </c>
      <c r="W29" s="86"/>
      <c r="X29" s="86"/>
      <c r="Y29" s="74"/>
      <c r="Z29" s="80" t="e">
        <f t="shared" si="0"/>
        <v>#REF!</v>
      </c>
      <c r="AA29" s="106"/>
    </row>
    <row r="30" ht="15.75" thickTop="1"/>
    <row r="31" spans="12:26" ht="15">
      <c r="L31" s="84">
        <f>'BS'!I52</f>
        <v>0</v>
      </c>
      <c r="M31" s="84"/>
      <c r="N31" s="84"/>
      <c r="O31" s="84"/>
      <c r="P31" s="84"/>
      <c r="Q31" s="84"/>
      <c r="R31" s="84"/>
      <c r="S31" s="84"/>
      <c r="T31" s="84"/>
      <c r="U31" s="84"/>
      <c r="V31" s="84"/>
      <c r="W31" s="84"/>
      <c r="X31" s="84"/>
      <c r="Z31" s="102"/>
    </row>
    <row r="33" ht="15">
      <c r="T33" s="107" t="e">
        <f>'BS'!H51-#REF!</f>
        <v>#REF!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 topLeftCell="A7">
      <selection activeCell="D18" sqref="D18"/>
    </sheetView>
  </sheetViews>
  <sheetFormatPr defaultColWidth="9.140625" defaultRowHeight="15"/>
  <cols>
    <col min="1" max="1" width="5.7109375" style="82" customWidth="1"/>
    <col min="2" max="2" width="9.140625" style="82" customWidth="1"/>
    <col min="3" max="3" width="26.28125" style="82" bestFit="1" customWidth="1"/>
    <col min="4" max="4" width="11.7109375" style="83" bestFit="1" customWidth="1"/>
    <col min="5" max="5" width="10.7109375" style="0" bestFit="1" customWidth="1"/>
  </cols>
  <sheetData>
    <row r="1" spans="1:4" ht="15.75" thickBot="1">
      <c r="A1" s="111"/>
      <c r="B1" s="111"/>
      <c r="C1" s="111"/>
      <c r="D1" s="112" t="s">
        <v>107</v>
      </c>
    </row>
    <row r="2" spans="1:4" ht="15.75" thickTop="1">
      <c r="A2" s="111"/>
      <c r="B2" s="111"/>
      <c r="C2" s="111"/>
      <c r="D2" s="124"/>
    </row>
    <row r="3" spans="1:4" ht="15">
      <c r="A3" s="111"/>
      <c r="B3" s="111"/>
      <c r="C3" s="111" t="s">
        <v>195</v>
      </c>
      <c r="D3" s="114">
        <f>237896.05-D4-D5-D6-78382.05</f>
        <v>128392.99999999999</v>
      </c>
    </row>
    <row r="4" spans="1:7" ht="15">
      <c r="A4" s="111"/>
      <c r="B4" s="111"/>
      <c r="C4" s="111" t="s">
        <v>196</v>
      </c>
      <c r="D4" s="114">
        <v>31121</v>
      </c>
      <c r="G4">
        <v>0.210733</v>
      </c>
    </row>
    <row r="5" spans="1:4" ht="15">
      <c r="A5" s="111"/>
      <c r="B5" s="111"/>
      <c r="C5" s="111" t="s">
        <v>95</v>
      </c>
      <c r="D5" s="114">
        <v>0</v>
      </c>
    </row>
    <row r="6" spans="1:4" ht="15">
      <c r="A6" s="111"/>
      <c r="B6" s="111"/>
      <c r="C6" s="111" t="s">
        <v>218</v>
      </c>
      <c r="D6" s="114">
        <v>0</v>
      </c>
    </row>
    <row r="7" spans="1:4" ht="15">
      <c r="A7" s="111"/>
      <c r="B7" s="111"/>
      <c r="C7" s="111" t="s">
        <v>193</v>
      </c>
      <c r="D7" s="114">
        <v>0</v>
      </c>
    </row>
    <row r="8" spans="1:4" ht="15">
      <c r="A8" s="111"/>
      <c r="B8" s="111"/>
      <c r="C8" s="111" t="s">
        <v>211</v>
      </c>
      <c r="D8" s="114">
        <v>7843.4</v>
      </c>
    </row>
    <row r="9" spans="1:6" ht="15">
      <c r="A9" s="111"/>
      <c r="B9" s="111"/>
      <c r="C9" s="111" t="s">
        <v>192</v>
      </c>
      <c r="D9" s="114">
        <f>702+14904.1+325000</f>
        <v>340606.1</v>
      </c>
      <c r="E9" t="s">
        <v>214</v>
      </c>
      <c r="F9" t="s">
        <v>215</v>
      </c>
    </row>
    <row r="10" spans="1:6" ht="15">
      <c r="A10" s="111"/>
      <c r="B10" s="111"/>
      <c r="C10" s="111" t="s">
        <v>207</v>
      </c>
      <c r="D10">
        <v>101117.76</v>
      </c>
      <c r="E10">
        <v>0</v>
      </c>
      <c r="F10">
        <v>0</v>
      </c>
    </row>
    <row r="11" spans="1:4" ht="15">
      <c r="A11" s="113" t="s">
        <v>109</v>
      </c>
      <c r="B11" s="113"/>
      <c r="C11" s="113"/>
      <c r="D11" s="114">
        <f>SUM(D3:D10)</f>
        <v>609081.26</v>
      </c>
    </row>
    <row r="12" spans="1:4" ht="15">
      <c r="A12" s="113" t="s">
        <v>113</v>
      </c>
      <c r="B12" s="113"/>
      <c r="C12" s="113"/>
      <c r="D12" s="114"/>
    </row>
    <row r="13" spans="1:4" ht="15">
      <c r="A13" s="113"/>
      <c r="B13" s="113" t="s">
        <v>154</v>
      </c>
      <c r="C13" s="113"/>
      <c r="D13" s="114"/>
    </row>
    <row r="14" spans="1:5" ht="15">
      <c r="A14" s="113"/>
      <c r="B14" s="113"/>
      <c r="C14" s="113" t="s">
        <v>155</v>
      </c>
      <c r="D14" s="114">
        <f>120846.69+7374.21+68895.77</f>
        <v>197116.67</v>
      </c>
      <c r="E14" t="s">
        <v>217</v>
      </c>
    </row>
    <row r="15" spans="1:4" ht="15">
      <c r="A15" s="113"/>
      <c r="B15" s="113"/>
      <c r="C15" s="113" t="s">
        <v>156</v>
      </c>
      <c r="D15" s="114">
        <v>0</v>
      </c>
    </row>
    <row r="16" spans="1:4" ht="15">
      <c r="A16" s="113"/>
      <c r="B16" s="113"/>
      <c r="C16" s="113" t="s">
        <v>190</v>
      </c>
      <c r="D16" s="114">
        <f>4310.98+25+2858.58</f>
        <v>7194.5599999999995</v>
      </c>
    </row>
    <row r="17" spans="1:4" ht="15">
      <c r="A17" s="113"/>
      <c r="B17" s="113"/>
      <c r="C17" s="113" t="s">
        <v>200</v>
      </c>
      <c r="D17" s="114">
        <f>3101.8+13150+11642</f>
        <v>27893.8</v>
      </c>
    </row>
    <row r="18" spans="1:5" ht="15">
      <c r="A18" s="113"/>
      <c r="B18" s="113"/>
      <c r="C18" s="113" t="s">
        <v>157</v>
      </c>
      <c r="D18" s="114">
        <f>32078.84+2112.73+13500+2713.41</f>
        <v>50404.979999999996</v>
      </c>
      <c r="E18" t="s">
        <v>213</v>
      </c>
    </row>
    <row r="19" spans="1:4" ht="15">
      <c r="A19" s="113"/>
      <c r="B19" s="113"/>
      <c r="C19" s="113" t="s">
        <v>202</v>
      </c>
      <c r="D19" s="114">
        <v>30000</v>
      </c>
    </row>
    <row r="20" spans="1:4" ht="15">
      <c r="A20" s="113"/>
      <c r="B20" s="113"/>
      <c r="C20" s="113" t="s">
        <v>158</v>
      </c>
      <c r="D20" s="114">
        <f>352.15+11702.11+13500</f>
        <v>25554.260000000002</v>
      </c>
    </row>
    <row r="21" spans="1:4" ht="15">
      <c r="A21" s="113"/>
      <c r="B21" s="113"/>
      <c r="C21" s="113" t="s">
        <v>197</v>
      </c>
      <c r="D21" s="114">
        <v>7984.83</v>
      </c>
    </row>
    <row r="22" spans="1:4" ht="15">
      <c r="A22" s="113"/>
      <c r="B22" s="113"/>
      <c r="C22" s="113" t="s">
        <v>221</v>
      </c>
      <c r="D22" s="114">
        <f>27.9+1846.4</f>
        <v>1874.3000000000002</v>
      </c>
    </row>
    <row r="23" spans="1:4" ht="15">
      <c r="A23" s="113"/>
      <c r="B23" s="113"/>
      <c r="C23" s="113" t="s">
        <v>194</v>
      </c>
      <c r="D23" s="114">
        <v>0</v>
      </c>
    </row>
    <row r="24" spans="1:4" ht="15">
      <c r="A24" s="113"/>
      <c r="B24" s="113"/>
      <c r="C24" s="113" t="s">
        <v>159</v>
      </c>
      <c r="D24" s="114">
        <v>29278.03</v>
      </c>
    </row>
    <row r="25" spans="1:5" ht="15">
      <c r="A25" s="113"/>
      <c r="B25" s="113"/>
      <c r="C25" s="113" t="s">
        <v>160</v>
      </c>
      <c r="D25" s="120">
        <v>8479.74</v>
      </c>
      <c r="E25" t="s">
        <v>212</v>
      </c>
    </row>
    <row r="26" spans="1:4" ht="15.75" thickBot="1">
      <c r="A26" s="113"/>
      <c r="B26" s="113"/>
      <c r="C26" s="113" t="s">
        <v>201</v>
      </c>
      <c r="D26" s="115">
        <v>1843.22</v>
      </c>
    </row>
    <row r="27" spans="1:4" ht="15">
      <c r="A27" s="113"/>
      <c r="B27" s="113" t="s">
        <v>161</v>
      </c>
      <c r="C27" s="113"/>
      <c r="D27" s="114">
        <f>ROUND(SUM(D13:D26),5)</f>
        <v>387624.39</v>
      </c>
    </row>
    <row r="28" spans="1:4" ht="15.75" thickBot="1">
      <c r="A28" s="113"/>
      <c r="B28" s="113" t="s">
        <v>162</v>
      </c>
      <c r="C28" s="113"/>
      <c r="D28" s="114"/>
    </row>
    <row r="29" spans="1:4" ht="15.75" thickBot="1">
      <c r="A29" s="113" t="s">
        <v>129</v>
      </c>
      <c r="B29" s="113"/>
      <c r="C29" s="113"/>
      <c r="D29" s="116">
        <f>ROUND(D12+SUM(D27:D28),5)</f>
        <v>387624.39</v>
      </c>
    </row>
    <row r="30" spans="1:5" ht="15.75" thickBot="1">
      <c r="A30" s="113" t="s">
        <v>131</v>
      </c>
      <c r="B30" s="113"/>
      <c r="C30" s="113"/>
      <c r="D30" s="117">
        <f>ROUND(D11-D29,5)</f>
        <v>221456.87</v>
      </c>
      <c r="E30" s="102">
        <f>D30-72397.38</f>
        <v>149059.49</v>
      </c>
    </row>
    <row r="31" ht="15.75" thickTop="1"/>
  </sheetData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 topLeftCell="A21">
      <selection activeCell="E40" sqref="E40"/>
    </sheetView>
  </sheetViews>
  <sheetFormatPr defaultColWidth="9.140625" defaultRowHeight="15"/>
  <cols>
    <col min="1" max="3" width="3.00390625" style="123" customWidth="1"/>
    <col min="4" max="4" width="31.28125" style="123" customWidth="1"/>
    <col min="5" max="5" width="12.28125" style="83" bestFit="1" customWidth="1"/>
  </cols>
  <sheetData>
    <row r="1" spans="1:5" ht="15.75" thickBot="1">
      <c r="A1" s="113"/>
      <c r="B1" s="113"/>
      <c r="C1" s="113"/>
      <c r="D1" s="113"/>
      <c r="E1" s="118"/>
    </row>
    <row r="2" spans="1:5" s="73" customFormat="1" ht="16.5" thickBot="1" thickTop="1">
      <c r="A2" s="111"/>
      <c r="B2" s="111"/>
      <c r="C2" s="111"/>
      <c r="D2" s="111"/>
      <c r="E2" s="119" t="s">
        <v>163</v>
      </c>
    </row>
    <row r="3" spans="1:5" ht="15.75" thickTop="1">
      <c r="A3" s="113"/>
      <c r="B3" s="113" t="s">
        <v>109</v>
      </c>
      <c r="C3" s="113"/>
      <c r="D3" s="113"/>
      <c r="E3" s="114"/>
    </row>
    <row r="4" spans="1:7" ht="15">
      <c r="A4" s="113"/>
      <c r="B4" s="113"/>
      <c r="C4" s="113" t="s">
        <v>164</v>
      </c>
      <c r="D4" s="113"/>
      <c r="E4" s="114">
        <f>671846-E5-E10</f>
        <v>537705</v>
      </c>
      <c r="G4">
        <v>1978034</v>
      </c>
    </row>
    <row r="5" spans="1:5" ht="15">
      <c r="A5" s="113"/>
      <c r="B5" s="113"/>
      <c r="C5" s="113"/>
      <c r="D5" s="113" t="s">
        <v>196</v>
      </c>
      <c r="E5" s="114">
        <v>134141</v>
      </c>
    </row>
    <row r="6" spans="1:5" ht="15">
      <c r="A6" s="113"/>
      <c r="B6" s="113"/>
      <c r="C6" s="113" t="s">
        <v>165</v>
      </c>
      <c r="D6" s="113"/>
      <c r="E6" s="114"/>
    </row>
    <row r="7" spans="1:5" ht="15" hidden="1">
      <c r="A7" s="113"/>
      <c r="B7" s="113"/>
      <c r="C7" s="113"/>
      <c r="D7" s="113" t="s">
        <v>204</v>
      </c>
      <c r="E7" s="114">
        <v>0</v>
      </c>
    </row>
    <row r="8" spans="1:5" ht="15.75" thickBot="1">
      <c r="A8" s="113"/>
      <c r="B8" s="113"/>
      <c r="C8" s="113"/>
      <c r="D8" s="113" t="s">
        <v>219</v>
      </c>
      <c r="E8" s="114">
        <v>139747</v>
      </c>
    </row>
    <row r="9" spans="1:5" ht="15" hidden="1">
      <c r="A9" s="113"/>
      <c r="B9" s="113"/>
      <c r="C9" s="113"/>
      <c r="D9" s="113" t="s">
        <v>209</v>
      </c>
      <c r="E9" s="114">
        <v>0</v>
      </c>
    </row>
    <row r="10" spans="1:5" ht="15" hidden="1">
      <c r="A10" s="113"/>
      <c r="B10" s="113"/>
      <c r="C10" s="113"/>
      <c r="D10" s="113" t="s">
        <v>95</v>
      </c>
      <c r="E10" s="114">
        <v>0</v>
      </c>
    </row>
    <row r="11" spans="1:5" ht="15.75" hidden="1" thickBot="1">
      <c r="A11" s="113"/>
      <c r="B11" s="113"/>
      <c r="C11" s="113"/>
      <c r="D11" s="113" t="s">
        <v>166</v>
      </c>
      <c r="E11" s="120"/>
    </row>
    <row r="12" spans="1:5" ht="15.75" thickBot="1">
      <c r="A12" s="113"/>
      <c r="B12" s="113"/>
      <c r="C12" s="113" t="s">
        <v>167</v>
      </c>
      <c r="D12" s="113"/>
      <c r="E12" s="121">
        <f>SUM(E7:E11)</f>
        <v>139747</v>
      </c>
    </row>
    <row r="13" spans="1:5" ht="15">
      <c r="A13" s="113"/>
      <c r="B13" s="113"/>
      <c r="C13" s="113"/>
      <c r="D13" s="113"/>
      <c r="E13" s="120"/>
    </row>
    <row r="14" spans="1:5" ht="30" customHeight="1">
      <c r="A14" s="113"/>
      <c r="B14" s="113" t="s">
        <v>112</v>
      </c>
      <c r="C14" s="113"/>
      <c r="D14" s="113"/>
      <c r="E14" s="114">
        <f>E4+E5+E12</f>
        <v>811593</v>
      </c>
    </row>
    <row r="15" spans="1:5" ht="30" customHeight="1">
      <c r="A15" s="113"/>
      <c r="B15" s="113" t="s">
        <v>113</v>
      </c>
      <c r="C15" s="113"/>
      <c r="D15" s="113"/>
      <c r="E15" s="114"/>
    </row>
    <row r="16" spans="1:5" ht="15">
      <c r="A16" s="113"/>
      <c r="B16" s="113"/>
      <c r="C16" s="113" t="s">
        <v>154</v>
      </c>
      <c r="D16" s="113"/>
      <c r="E16" s="114"/>
    </row>
    <row r="17" spans="1:5" ht="15">
      <c r="A17" s="113"/>
      <c r="B17" s="113"/>
      <c r="C17" s="113"/>
      <c r="D17" s="113" t="s">
        <v>155</v>
      </c>
      <c r="E17" s="114">
        <v>246005.24</v>
      </c>
    </row>
    <row r="18" spans="1:5" ht="15">
      <c r="A18" s="113"/>
      <c r="B18" s="113"/>
      <c r="C18" s="113"/>
      <c r="D18" s="113" t="s">
        <v>156</v>
      </c>
      <c r="E18" s="114">
        <v>500</v>
      </c>
    </row>
    <row r="19" spans="1:5" ht="15">
      <c r="A19" s="113"/>
      <c r="B19" s="113"/>
      <c r="C19" s="113"/>
      <c r="D19" s="113" t="s">
        <v>168</v>
      </c>
      <c r="E19" s="114">
        <v>0</v>
      </c>
    </row>
    <row r="20" spans="1:5" ht="15">
      <c r="A20" s="113"/>
      <c r="B20" s="113"/>
      <c r="C20" s="113"/>
      <c r="D20" s="113" t="s">
        <v>169</v>
      </c>
      <c r="E20" s="114">
        <v>2000</v>
      </c>
    </row>
    <row r="21" spans="1:5" ht="15">
      <c r="A21" s="113"/>
      <c r="B21" s="113"/>
      <c r="C21" s="113"/>
      <c r="D21" s="113" t="s">
        <v>170</v>
      </c>
      <c r="E21" s="114">
        <v>28650</v>
      </c>
    </row>
    <row r="22" spans="1:5" ht="15">
      <c r="A22" s="113"/>
      <c r="B22" s="113"/>
      <c r="C22" s="113"/>
      <c r="D22" s="113" t="s">
        <v>171</v>
      </c>
      <c r="E22" s="114">
        <v>10000</v>
      </c>
    </row>
    <row r="23" spans="1:5" ht="15">
      <c r="A23" s="113"/>
      <c r="B23" s="113"/>
      <c r="C23" s="113"/>
      <c r="D23" s="113" t="s">
        <v>172</v>
      </c>
      <c r="E23" s="114"/>
    </row>
    <row r="24" spans="1:5" ht="15">
      <c r="A24" s="113"/>
      <c r="B24" s="113"/>
      <c r="C24" s="113"/>
      <c r="D24" s="113" t="s">
        <v>157</v>
      </c>
      <c r="E24" s="114">
        <v>106153.99</v>
      </c>
    </row>
    <row r="25" spans="1:5" ht="15">
      <c r="A25" s="113"/>
      <c r="B25" s="113"/>
      <c r="C25" s="113"/>
      <c r="D25" s="113" t="s">
        <v>205</v>
      </c>
      <c r="E25" s="114">
        <v>156000</v>
      </c>
    </row>
    <row r="26" spans="1:5" ht="15">
      <c r="A26" s="113"/>
      <c r="B26" s="113"/>
      <c r="C26" s="113"/>
      <c r="D26" s="113" t="s">
        <v>158</v>
      </c>
      <c r="E26" s="114">
        <v>48653.55</v>
      </c>
    </row>
    <row r="27" spans="1:5" ht="15">
      <c r="A27" s="113"/>
      <c r="B27" s="113"/>
      <c r="C27" s="113"/>
      <c r="D27" s="113" t="s">
        <v>173</v>
      </c>
      <c r="E27" s="114">
        <v>0</v>
      </c>
    </row>
    <row r="28" spans="1:5" ht="15">
      <c r="A28" s="113"/>
      <c r="B28" s="113"/>
      <c r="C28" s="113"/>
      <c r="D28" s="113" t="s">
        <v>174</v>
      </c>
      <c r="E28" s="114">
        <v>0</v>
      </c>
    </row>
    <row r="29" spans="1:5" ht="15">
      <c r="A29" s="113"/>
      <c r="B29" s="113"/>
      <c r="C29" s="113"/>
      <c r="D29" s="113" t="s">
        <v>159</v>
      </c>
      <c r="E29" s="114">
        <v>130350</v>
      </c>
    </row>
    <row r="30" spans="1:5" ht="15.75" thickBot="1">
      <c r="A30" s="113"/>
      <c r="B30" s="113"/>
      <c r="C30" s="113"/>
      <c r="D30" s="113" t="s">
        <v>160</v>
      </c>
      <c r="E30" s="115">
        <v>0</v>
      </c>
    </row>
    <row r="31" spans="1:5" ht="15">
      <c r="A31" s="113"/>
      <c r="B31" s="113"/>
      <c r="C31" s="113"/>
      <c r="D31" s="113" t="s">
        <v>206</v>
      </c>
      <c r="E31" s="120">
        <v>9000</v>
      </c>
    </row>
    <row r="32" spans="1:5" ht="15">
      <c r="A32" s="113"/>
      <c r="B32" s="113"/>
      <c r="C32" s="113" t="s">
        <v>161</v>
      </c>
      <c r="D32" s="113"/>
      <c r="E32" s="114">
        <f>SUM(E17:E31)</f>
        <v>737312.78</v>
      </c>
    </row>
    <row r="33" spans="1:5" ht="30" customHeight="1">
      <c r="A33" s="113"/>
      <c r="B33" s="113"/>
      <c r="C33" s="113" t="s">
        <v>162</v>
      </c>
      <c r="D33" s="113"/>
      <c r="E33" s="114"/>
    </row>
    <row r="34" spans="1:5" ht="15.75" thickBot="1">
      <c r="A34" s="113"/>
      <c r="B34" s="113"/>
      <c r="C34" s="113"/>
      <c r="D34" s="113" t="s">
        <v>175</v>
      </c>
      <c r="E34" s="120">
        <v>0</v>
      </c>
    </row>
    <row r="35" spans="1:5" ht="15.75" thickBot="1">
      <c r="A35" s="113"/>
      <c r="B35" s="113"/>
      <c r="C35" s="113" t="s">
        <v>176</v>
      </c>
      <c r="D35" s="113"/>
      <c r="E35" s="116">
        <f>SUM(E34)</f>
        <v>0</v>
      </c>
    </row>
    <row r="36" spans="1:5" ht="30" customHeight="1" thickBot="1">
      <c r="A36" s="113"/>
      <c r="B36" s="113" t="s">
        <v>129</v>
      </c>
      <c r="C36" s="113"/>
      <c r="D36" s="113"/>
      <c r="E36" s="116">
        <f>E32+E35</f>
        <v>737312.78</v>
      </c>
    </row>
    <row r="37" spans="1:5" s="122" customFormat="1" ht="30" customHeight="1" thickBot="1">
      <c r="A37" s="113" t="s">
        <v>131</v>
      </c>
      <c r="B37" s="113"/>
      <c r="C37" s="113"/>
      <c r="D37" s="113"/>
      <c r="E37" s="117">
        <f>ROUND(E14-E36,5)</f>
        <v>74280.22</v>
      </c>
    </row>
    <row r="38" ht="15.75" thickTop="1"/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workbookViewId="0" topLeftCell="A1">
      <selection activeCell="D18" sqref="D18"/>
    </sheetView>
  </sheetViews>
  <sheetFormatPr defaultColWidth="9.140625" defaultRowHeight="15"/>
  <cols>
    <col min="1" max="1" width="5.7109375" style="82" customWidth="1"/>
    <col min="2" max="2" width="9.140625" style="82" customWidth="1"/>
    <col min="3" max="3" width="26.28125" style="82" bestFit="1" customWidth="1"/>
    <col min="4" max="4" width="10.00390625" style="83" bestFit="1" customWidth="1"/>
  </cols>
  <sheetData>
    <row r="1" spans="1:4" ht="15.75" thickBot="1">
      <c r="A1" s="111"/>
      <c r="B1" s="111"/>
      <c r="C1" s="111"/>
      <c r="D1" s="112" t="s">
        <v>107</v>
      </c>
    </row>
    <row r="2" spans="1:4" ht="15.75" thickTop="1">
      <c r="A2" s="111"/>
      <c r="B2" s="111"/>
      <c r="C2" s="111"/>
      <c r="D2" s="124"/>
    </row>
    <row r="3" spans="1:4" ht="15">
      <c r="A3" s="111"/>
      <c r="B3" s="111"/>
      <c r="C3" s="111" t="s">
        <v>195</v>
      </c>
      <c r="D3" s="114">
        <f>194945.48-D4-D5-D6-89579.48</f>
        <v>85129.00000000001</v>
      </c>
    </row>
    <row r="4" spans="1:4" ht="15">
      <c r="A4" s="111"/>
      <c r="B4" s="111"/>
      <c r="C4" s="111" t="s">
        <v>196</v>
      </c>
      <c r="D4" s="114">
        <v>20237</v>
      </c>
    </row>
    <row r="5" spans="1:4" ht="15">
      <c r="A5" s="111"/>
      <c r="B5" s="111"/>
      <c r="C5" s="111" t="s">
        <v>95</v>
      </c>
      <c r="D5" s="114">
        <v>0</v>
      </c>
    </row>
    <row r="6" spans="1:4" ht="15">
      <c r="A6" s="111"/>
      <c r="B6" s="111"/>
      <c r="C6" s="111" t="s">
        <v>218</v>
      </c>
      <c r="D6" s="114">
        <v>0</v>
      </c>
    </row>
    <row r="7" spans="1:4" ht="15">
      <c r="A7" s="111"/>
      <c r="B7" s="111"/>
      <c r="C7" s="111" t="s">
        <v>193</v>
      </c>
      <c r="D7" s="114">
        <v>0</v>
      </c>
    </row>
    <row r="8" spans="1:4" ht="15">
      <c r="A8" s="111"/>
      <c r="B8" s="111"/>
      <c r="C8" s="111" t="s">
        <v>199</v>
      </c>
      <c r="D8" s="114">
        <v>6340.8</v>
      </c>
    </row>
    <row r="9" spans="1:4" ht="15">
      <c r="A9" s="111"/>
      <c r="B9" s="111"/>
      <c r="C9" s="111" t="s">
        <v>192</v>
      </c>
      <c r="D9" s="114">
        <f>702+10221.1</f>
        <v>10923.1</v>
      </c>
    </row>
    <row r="10" spans="1:4" ht="15">
      <c r="A10" s="111"/>
      <c r="B10" s="111"/>
      <c r="C10" s="111"/>
      <c r="D10">
        <v>101117.76</v>
      </c>
    </row>
    <row r="11" spans="1:4" ht="15">
      <c r="A11" s="113" t="s">
        <v>109</v>
      </c>
      <c r="B11" s="113"/>
      <c r="C11" s="113"/>
      <c r="D11" s="114">
        <f>SUM(D3:D10)</f>
        <v>223747.66000000003</v>
      </c>
    </row>
    <row r="12" spans="1:4" ht="15">
      <c r="A12" s="113" t="s">
        <v>113</v>
      </c>
      <c r="B12" s="113"/>
      <c r="C12" s="113"/>
      <c r="D12" s="114"/>
    </row>
    <row r="13" spans="1:4" ht="15">
      <c r="A13" s="113"/>
      <c r="B13" s="113" t="s">
        <v>154</v>
      </c>
      <c r="C13" s="113"/>
      <c r="D13" s="114"/>
    </row>
    <row r="14" spans="1:4" ht="15">
      <c r="A14" s="113"/>
      <c r="B14" s="113"/>
      <c r="C14" s="113" t="s">
        <v>155</v>
      </c>
      <c r="D14" s="114">
        <f>87781.58+68895.77+7374.21-1238</f>
        <v>162813.56</v>
      </c>
    </row>
    <row r="15" spans="1:4" ht="15">
      <c r="A15" s="113"/>
      <c r="B15" s="113"/>
      <c r="C15" s="113" t="s">
        <v>156</v>
      </c>
      <c r="D15" s="114">
        <v>0</v>
      </c>
    </row>
    <row r="16" spans="1:4" ht="15">
      <c r="A16" s="113"/>
      <c r="B16" s="113"/>
      <c r="C16" s="113" t="s">
        <v>190</v>
      </c>
      <c r="D16" s="114">
        <f>4310.98+25+2858.58</f>
        <v>7194.5599999999995</v>
      </c>
    </row>
    <row r="17" spans="1:4" ht="15">
      <c r="A17" s="113"/>
      <c r="B17" s="113"/>
      <c r="C17" s="113" t="s">
        <v>200</v>
      </c>
      <c r="D17" s="114">
        <f>11346.3+13150</f>
        <v>24496.3</v>
      </c>
    </row>
    <row r="18" spans="1:4" ht="15">
      <c r="A18" s="113"/>
      <c r="B18" s="113"/>
      <c r="C18" s="113" t="s">
        <v>157</v>
      </c>
      <c r="D18" s="114">
        <f>27704.32+2713.41+2112.73</f>
        <v>32530.46</v>
      </c>
    </row>
    <row r="19" spans="1:4" ht="15">
      <c r="A19" s="113"/>
      <c r="B19" s="113"/>
      <c r="C19" s="113" t="s">
        <v>203</v>
      </c>
      <c r="D19" s="114">
        <v>20000</v>
      </c>
    </row>
    <row r="20" spans="1:6" ht="15">
      <c r="A20" s="113"/>
      <c r="B20" s="113"/>
      <c r="C20" s="113" t="s">
        <v>158</v>
      </c>
      <c r="D20" s="114">
        <f>9536.98+352.15+13500</f>
        <v>23389.129999999997</v>
      </c>
      <c r="F20" s="102"/>
    </row>
    <row r="21" spans="1:4" ht="15">
      <c r="A21" s="113"/>
      <c r="B21" s="113"/>
      <c r="C21" s="113" t="s">
        <v>197</v>
      </c>
      <c r="D21" s="114">
        <v>2951.13</v>
      </c>
    </row>
    <row r="22" spans="1:4" ht="15">
      <c r="A22" s="113"/>
      <c r="B22" s="113"/>
      <c r="C22" s="113" t="s">
        <v>221</v>
      </c>
      <c r="D22" s="114">
        <f>27.9+1846.4</f>
        <v>1874.3000000000002</v>
      </c>
    </row>
    <row r="23" spans="1:4" ht="15">
      <c r="A23" s="113"/>
      <c r="B23" s="113"/>
      <c r="C23" s="113" t="s">
        <v>198</v>
      </c>
      <c r="D23" s="114">
        <v>0</v>
      </c>
    </row>
    <row r="24" spans="1:4" ht="15">
      <c r="A24" s="113"/>
      <c r="B24" s="113"/>
      <c r="C24" s="113" t="s">
        <v>159</v>
      </c>
      <c r="D24" s="114">
        <v>25480.03</v>
      </c>
    </row>
    <row r="25" spans="1:4" ht="15">
      <c r="A25" s="113"/>
      <c r="B25" s="113"/>
      <c r="C25" s="113" t="s">
        <v>160</v>
      </c>
      <c r="D25" s="120">
        <v>8479.74</v>
      </c>
    </row>
    <row r="26" spans="1:4" ht="15.75" thickBot="1">
      <c r="A26" s="113"/>
      <c r="B26" s="113"/>
      <c r="C26" s="113" t="s">
        <v>201</v>
      </c>
      <c r="D26" s="115">
        <v>1518.22</v>
      </c>
    </row>
    <row r="27" spans="1:4" ht="15">
      <c r="A27" s="113"/>
      <c r="B27" s="113" t="s">
        <v>161</v>
      </c>
      <c r="C27" s="113"/>
      <c r="D27" s="114">
        <f>ROUND(SUM(D13:D26),5)</f>
        <v>310727.43</v>
      </c>
    </row>
    <row r="28" spans="1:4" ht="15.75" thickBot="1">
      <c r="A28" s="113"/>
      <c r="B28" s="113" t="s">
        <v>162</v>
      </c>
      <c r="C28" s="113"/>
      <c r="D28" s="114"/>
    </row>
    <row r="29" spans="1:4" ht="15.75" thickBot="1">
      <c r="A29" s="113" t="s">
        <v>129</v>
      </c>
      <c r="B29" s="113"/>
      <c r="C29" s="113"/>
      <c r="D29" s="116">
        <f>ROUND(D12+SUM(D27:D28),5)</f>
        <v>310727.43</v>
      </c>
    </row>
    <row r="30" spans="1:5" ht="15.75" thickBot="1">
      <c r="A30" s="113" t="s">
        <v>131</v>
      </c>
      <c r="B30" s="113"/>
      <c r="C30" s="113"/>
      <c r="D30" s="117">
        <f>ROUND(D11-D29,5)</f>
        <v>-86979.77</v>
      </c>
      <c r="E30" s="102"/>
    </row>
    <row r="31" ht="15.75" thickTop="1"/>
  </sheetData>
  <printOptions/>
  <pageMargins left="0.7" right="0.7" top="0.75" bottom="0.75" header="0.3" footer="0.3"/>
  <pageSetup horizontalDpi="1200" verticalDpi="12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workbookViewId="0" topLeftCell="A19">
      <selection activeCell="F28" sqref="F28"/>
    </sheetView>
  </sheetViews>
  <sheetFormatPr defaultColWidth="9.140625" defaultRowHeight="15" outlineLevelRow="4"/>
  <cols>
    <col min="1" max="4" width="3.00390625" style="123" customWidth="1"/>
    <col min="5" max="5" width="27.140625" style="123" customWidth="1"/>
    <col min="6" max="6" width="10.00390625" style="83" bestFit="1" customWidth="1"/>
    <col min="8" max="8" width="10.7109375" style="0" bestFit="1" customWidth="1"/>
  </cols>
  <sheetData>
    <row r="1" spans="1:6" s="73" customFormat="1" ht="15.75" thickBot="1">
      <c r="A1" s="111"/>
      <c r="B1" s="111"/>
      <c r="C1" s="111"/>
      <c r="D1" s="111"/>
      <c r="E1" s="111"/>
      <c r="F1" s="112" t="s">
        <v>177</v>
      </c>
    </row>
    <row r="2" spans="1:6" ht="15.75" thickTop="1">
      <c r="A2" s="113" t="s">
        <v>66</v>
      </c>
      <c r="B2" s="113"/>
      <c r="C2" s="113"/>
      <c r="D2" s="113"/>
      <c r="E2" s="113"/>
      <c r="F2" s="114"/>
    </row>
    <row r="3" spans="1:6" ht="15">
      <c r="A3" s="113"/>
      <c r="B3" s="113" t="s">
        <v>16</v>
      </c>
      <c r="C3" s="113"/>
      <c r="D3" s="113"/>
      <c r="E3" s="113"/>
      <c r="F3" s="114"/>
    </row>
    <row r="4" spans="1:6" ht="15">
      <c r="A4" s="113"/>
      <c r="B4" s="113"/>
      <c r="C4" s="113" t="s">
        <v>132</v>
      </c>
      <c r="D4" s="113"/>
      <c r="E4" s="113"/>
      <c r="F4" s="114"/>
    </row>
    <row r="5" spans="1:6" ht="15" outlineLevel="1">
      <c r="A5" s="113"/>
      <c r="B5" s="113"/>
      <c r="C5" s="113"/>
      <c r="D5" s="113" t="s">
        <v>178</v>
      </c>
      <c r="E5" s="113"/>
      <c r="F5" s="114">
        <v>398372.12</v>
      </c>
    </row>
    <row r="6" spans="1:6" ht="15.75" outlineLevel="2" thickBot="1">
      <c r="A6" s="113"/>
      <c r="B6" s="113"/>
      <c r="C6" s="113"/>
      <c r="D6" s="113" t="s">
        <v>179</v>
      </c>
      <c r="E6" s="113"/>
      <c r="F6" s="120">
        <v>223.02</v>
      </c>
    </row>
    <row r="7" spans="1:6" ht="15.75" outlineLevel="3" thickBot="1">
      <c r="A7" s="113"/>
      <c r="B7" s="113"/>
      <c r="C7" s="113" t="s">
        <v>133</v>
      </c>
      <c r="D7" s="113"/>
      <c r="E7" s="113"/>
      <c r="F7" s="121">
        <f>ROUND(SUM(F4:F6),5)</f>
        <v>398595.14</v>
      </c>
    </row>
    <row r="8" spans="1:6" ht="15" outlineLevel="4">
      <c r="A8" s="113"/>
      <c r="B8" s="113" t="s">
        <v>134</v>
      </c>
      <c r="C8" s="113"/>
      <c r="D8" s="113"/>
      <c r="E8" s="113"/>
      <c r="F8" s="114">
        <f>ROUND(F3+F7,5)</f>
        <v>398595.14</v>
      </c>
    </row>
    <row r="9" spans="1:6" ht="15" outlineLevel="4">
      <c r="A9" s="113"/>
      <c r="B9" s="113"/>
      <c r="C9" s="113"/>
      <c r="D9" s="113"/>
      <c r="E9" s="113"/>
      <c r="F9" s="114"/>
    </row>
    <row r="10" spans="1:6" ht="15" outlineLevel="4">
      <c r="A10" s="113"/>
      <c r="B10" s="113"/>
      <c r="C10" s="113" t="s">
        <v>191</v>
      </c>
      <c r="D10" s="113"/>
      <c r="E10" s="113"/>
      <c r="F10" s="114">
        <v>0</v>
      </c>
    </row>
    <row r="11" spans="1:6" ht="15" outlineLevel="4">
      <c r="A11" s="113"/>
      <c r="B11" s="113"/>
      <c r="C11" s="113" t="s">
        <v>208</v>
      </c>
      <c r="D11" s="113"/>
      <c r="E11" s="113"/>
      <c r="F11" s="114">
        <v>0</v>
      </c>
    </row>
    <row r="12" spans="1:6" ht="15" outlineLevel="4">
      <c r="A12" s="113"/>
      <c r="B12" s="113"/>
      <c r="C12" s="113" t="s">
        <v>96</v>
      </c>
      <c r="D12" s="113"/>
      <c r="E12" s="113"/>
      <c r="F12" s="114"/>
    </row>
    <row r="13" spans="1:6" ht="15" outlineLevel="4">
      <c r="A13" s="113"/>
      <c r="B13" s="113" t="s">
        <v>180</v>
      </c>
      <c r="C13" s="113"/>
      <c r="D13" s="113"/>
      <c r="E13" s="113"/>
      <c r="F13" s="114"/>
    </row>
    <row r="14" spans="1:6" ht="15" outlineLevel="3">
      <c r="A14" s="113"/>
      <c r="B14" s="113"/>
      <c r="C14" s="113" t="s">
        <v>181</v>
      </c>
      <c r="D14" s="113"/>
      <c r="E14" s="113"/>
      <c r="F14" s="114"/>
    </row>
    <row r="15" spans="1:6" ht="30" customHeight="1" outlineLevel="2">
      <c r="A15" s="113"/>
      <c r="B15" s="113"/>
      <c r="C15" s="113" t="s">
        <v>182</v>
      </c>
      <c r="D15" s="113"/>
      <c r="E15" s="113"/>
      <c r="F15" s="114"/>
    </row>
    <row r="16" spans="1:6" ht="30" customHeight="1" outlineLevel="3" thickBot="1">
      <c r="A16" s="113"/>
      <c r="B16" s="113"/>
      <c r="C16" s="113" t="s">
        <v>183</v>
      </c>
      <c r="D16" s="113"/>
      <c r="E16" s="113"/>
      <c r="F16" s="120"/>
    </row>
    <row r="17" spans="1:6" ht="15.75" outlineLevel="4" thickBot="1">
      <c r="A17" s="113"/>
      <c r="B17" s="113" t="s">
        <v>184</v>
      </c>
      <c r="C17" s="113"/>
      <c r="D17" s="113"/>
      <c r="E17" s="113"/>
      <c r="F17" s="116">
        <f>ROUND(SUM(F13:F16),5)</f>
        <v>0</v>
      </c>
    </row>
    <row r="18" spans="1:7" s="122" customFormat="1" ht="12" outlineLevel="4" thickBot="1">
      <c r="A18" s="113" t="s">
        <v>135</v>
      </c>
      <c r="B18" s="113"/>
      <c r="C18" s="113"/>
      <c r="D18" s="113"/>
      <c r="E18" s="113"/>
      <c r="F18" s="117">
        <f>ROUND(F2+F8+F10+F12+F17,5)</f>
        <v>398595.14</v>
      </c>
      <c r="G18" s="125">
        <f>F38-F18</f>
        <v>0.16999999998370185</v>
      </c>
    </row>
    <row r="19" spans="1:6" ht="15.75" outlineLevel="4" thickTop="1">
      <c r="A19" s="113" t="s">
        <v>136</v>
      </c>
      <c r="B19" s="113"/>
      <c r="C19" s="113"/>
      <c r="D19" s="113"/>
      <c r="E19" s="113"/>
      <c r="F19" s="114"/>
    </row>
    <row r="20" spans="1:6" ht="15" outlineLevel="3">
      <c r="A20" s="113"/>
      <c r="B20" s="113" t="s">
        <v>97</v>
      </c>
      <c r="C20" s="113"/>
      <c r="D20" s="113"/>
      <c r="E20" s="113"/>
      <c r="F20" s="114"/>
    </row>
    <row r="21" spans="1:6" ht="15">
      <c r="A21" s="113"/>
      <c r="B21" s="113"/>
      <c r="C21" s="113" t="s">
        <v>137</v>
      </c>
      <c r="D21" s="113"/>
      <c r="E21" s="113"/>
      <c r="F21" s="114"/>
    </row>
    <row r="22" spans="1:6" ht="15">
      <c r="A22" s="113"/>
      <c r="B22" s="113"/>
      <c r="C22" s="113"/>
      <c r="D22" s="113" t="s">
        <v>138</v>
      </c>
      <c r="E22" s="113"/>
      <c r="F22" s="114"/>
    </row>
    <row r="23" spans="1:6" ht="15.75" thickBot="1">
      <c r="A23" s="113"/>
      <c r="B23" s="113"/>
      <c r="C23" s="113"/>
      <c r="D23" s="113"/>
      <c r="E23" s="113" t="s">
        <v>141</v>
      </c>
      <c r="F23" s="115">
        <v>7630.91</v>
      </c>
    </row>
    <row r="24" spans="1:6" ht="15">
      <c r="A24" s="113"/>
      <c r="B24" s="113"/>
      <c r="C24" s="113"/>
      <c r="D24" s="113" t="s">
        <v>139</v>
      </c>
      <c r="E24" s="113"/>
      <c r="F24" s="114">
        <f>ROUND(SUM(F22:F23),5)</f>
        <v>7630.91</v>
      </c>
    </row>
    <row r="25" spans="1:8" ht="30" customHeight="1">
      <c r="A25" s="113"/>
      <c r="B25" s="113"/>
      <c r="C25" s="113"/>
      <c r="D25" s="113" t="s">
        <v>140</v>
      </c>
      <c r="E25" s="113"/>
      <c r="F25" s="114"/>
      <c r="H25" s="126" t="e">
        <f>#REF!-#REF!</f>
        <v>#REF!</v>
      </c>
    </row>
    <row r="26" spans="1:8" ht="15">
      <c r="A26" s="113"/>
      <c r="B26" s="113"/>
      <c r="C26" s="113"/>
      <c r="D26" s="113"/>
      <c r="E26" s="113" t="s">
        <v>185</v>
      </c>
      <c r="F26" s="114">
        <v>29760.84</v>
      </c>
      <c r="G26" t="s">
        <v>214</v>
      </c>
      <c r="H26" t="s">
        <v>215</v>
      </c>
    </row>
    <row r="27" spans="1:8" ht="15.75" thickBot="1">
      <c r="A27" s="113"/>
      <c r="B27" s="113"/>
      <c r="C27" s="113"/>
      <c r="D27" s="113"/>
      <c r="E27" s="113" t="s">
        <v>220</v>
      </c>
      <c r="F27" s="120">
        <f>-8520.75+6711.64+118291.8+23264</f>
        <v>139746.69</v>
      </c>
      <c r="G27">
        <v>0</v>
      </c>
      <c r="H27">
        <v>133912.79</v>
      </c>
    </row>
    <row r="28" spans="1:6" ht="15.75" thickBot="1">
      <c r="A28" s="113"/>
      <c r="B28" s="113"/>
      <c r="C28" s="113"/>
      <c r="D28" s="113" t="s">
        <v>142</v>
      </c>
      <c r="E28" s="113"/>
      <c r="F28" s="121">
        <f>ROUND(SUM(F25:F27),5)</f>
        <v>169507.53</v>
      </c>
    </row>
    <row r="29" spans="1:6" ht="30" customHeight="1">
      <c r="A29" s="113"/>
      <c r="B29" s="113"/>
      <c r="C29" s="113" t="s">
        <v>143</v>
      </c>
      <c r="D29" s="113"/>
      <c r="E29" s="113"/>
      <c r="F29" s="114">
        <f>ROUND(F21+F24+F28,5)</f>
        <v>177138.44</v>
      </c>
    </row>
    <row r="30" spans="1:7" ht="30" customHeight="1">
      <c r="A30" s="113"/>
      <c r="B30" s="113"/>
      <c r="C30" s="113" t="s">
        <v>186</v>
      </c>
      <c r="D30" s="113"/>
      <c r="E30" s="113"/>
      <c r="F30" s="114"/>
      <c r="G30" t="s">
        <v>210</v>
      </c>
    </row>
    <row r="31" spans="1:7" ht="15.75" thickBot="1">
      <c r="A31" s="113"/>
      <c r="B31" s="113"/>
      <c r="C31" s="113"/>
      <c r="D31" s="113" t="s">
        <v>187</v>
      </c>
      <c r="E31" s="113"/>
      <c r="F31" s="120"/>
      <c r="G31" t="s">
        <v>216</v>
      </c>
    </row>
    <row r="32" spans="1:6" ht="15.75" thickBot="1">
      <c r="A32" s="113"/>
      <c r="B32" s="113"/>
      <c r="C32" s="113" t="s">
        <v>188</v>
      </c>
      <c r="D32" s="113"/>
      <c r="E32" s="113"/>
      <c r="F32" s="121">
        <f>ROUND(SUM(F30:F31),5)</f>
        <v>0</v>
      </c>
    </row>
    <row r="33" spans="1:6" ht="30" customHeight="1">
      <c r="A33" s="113"/>
      <c r="B33" s="113" t="s">
        <v>2</v>
      </c>
      <c r="C33" s="113"/>
      <c r="D33" s="113"/>
      <c r="E33" s="113"/>
      <c r="F33" s="114">
        <f>ROUND(F20+F29+F32,5)</f>
        <v>177138.44</v>
      </c>
    </row>
    <row r="34" spans="1:6" ht="30" customHeight="1">
      <c r="A34" s="113"/>
      <c r="B34" s="113" t="s">
        <v>144</v>
      </c>
      <c r="C34" s="113"/>
      <c r="D34" s="113"/>
      <c r="E34" s="113"/>
      <c r="F34" s="114"/>
    </row>
    <row r="35" spans="1:6" ht="15">
      <c r="A35" s="113"/>
      <c r="B35" s="113"/>
      <c r="C35" s="113" t="s">
        <v>189</v>
      </c>
      <c r="D35" s="113"/>
      <c r="E35" s="113"/>
      <c r="F35" s="114">
        <v>0</v>
      </c>
    </row>
    <row r="36" spans="1:7" ht="15.75" thickBot="1">
      <c r="A36" s="113"/>
      <c r="B36" s="113"/>
      <c r="C36" s="113" t="s">
        <v>131</v>
      </c>
      <c r="D36" s="113"/>
      <c r="E36" s="113"/>
      <c r="F36" s="120">
        <f>'IS Current'!D30</f>
        <v>221456.87</v>
      </c>
      <c r="G36">
        <f>-75447.04-77186.29-21979.74+53030</f>
        <v>-121583.06999999998</v>
      </c>
    </row>
    <row r="37" spans="1:6" ht="15.75" thickBot="1">
      <c r="A37" s="113"/>
      <c r="B37" s="113" t="s">
        <v>145</v>
      </c>
      <c r="C37" s="113"/>
      <c r="D37" s="113"/>
      <c r="E37" s="113"/>
      <c r="F37" s="116">
        <f>ROUND(SUM(F34:F36),5)</f>
        <v>221456.87</v>
      </c>
    </row>
    <row r="38" spans="1:6" s="122" customFormat="1" ht="30" customHeight="1" thickBot="1">
      <c r="A38" s="113" t="s">
        <v>146</v>
      </c>
      <c r="B38" s="113"/>
      <c r="C38" s="113"/>
      <c r="D38" s="113"/>
      <c r="E38" s="113"/>
      <c r="F38" s="117">
        <f>ROUND(F19+F33+F37,5)</f>
        <v>398595.31</v>
      </c>
    </row>
    <row r="39" ht="15.75" thickTop="1"/>
  </sheetData>
  <printOptions/>
  <pageMargins left="0.7" right="0.7" top="0.75" bottom="0.75" header="0.3" footer="0.3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Kevin Lugar</cp:lastModifiedBy>
  <cp:lastPrinted>2015-05-05T16:22:18Z</cp:lastPrinted>
  <dcterms:created xsi:type="dcterms:W3CDTF">2013-08-02T15:02:10Z</dcterms:created>
  <dcterms:modified xsi:type="dcterms:W3CDTF">2019-01-10T16:13:17Z</dcterms:modified>
  <cp:category/>
  <cp:version/>
  <cp:contentType/>
  <cp:contentStatus/>
</cp:coreProperties>
</file>